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DudLess\Desktop\All\Alien Capital\RGS\"/>
    </mc:Choice>
  </mc:AlternateContent>
  <bookViews>
    <workbookView xWindow="0" yWindow="0" windowWidth="20490" windowHeight="7755" firstSheet="3" activeTab="4"/>
  </bookViews>
  <sheets>
    <sheet name="Export" sheetId="19" state="hidden" r:id="rId1"/>
    <sheet name="HDS-Data" sheetId="17" state="hidden" r:id="rId2"/>
    <sheet name="Settings" sheetId="20" state="veryHidden" r:id="rId3"/>
    <sheet name="Regis Corp. model" sheetId="27" r:id="rId4"/>
    <sheet name="Alien Capital" sheetId="31" r:id="rId5"/>
    <sheet name="Value salon incentives" sheetId="33" r:id="rId6"/>
    <sheet name="RGS trading comps" sheetId="29" r:id="rId7"/>
    <sheet name="RGS M&amp;A comps" sheetId="30" r:id="rId8"/>
  </sheets>
  <definedNames>
    <definedName name="_xlnm._FilterDatabase" localSheetId="7" hidden="1">'RGS M&amp;A comps'!$B$4:$P$5004</definedName>
    <definedName name="DISPLAY_FILTER" localSheetId="4">#REF!</definedName>
    <definedName name="DISPLAY_FILTER" localSheetId="5">#REF!</definedName>
    <definedName name="DISPLAY_FILTER">#REF!</definedName>
    <definedName name="DISPLAY_NAME" localSheetId="4">#REF!</definedName>
    <definedName name="DISPLAY_NAME" localSheetId="5">#REF!</definedName>
    <definedName name="DISPLAY_NAME">#REF!</definedName>
    <definedName name="DISPLAY_TICKER" localSheetId="4">#REF!</definedName>
    <definedName name="DISPLAY_TICKER" localSheetId="5">#REF!</definedName>
    <definedName name="DISPLAY_TICKER">#REF!</definedName>
    <definedName name="messagerange">Export!$B$4</definedName>
    <definedName name="SETTING_HOLDERIDS">Settings!$B$4</definedName>
    <definedName name="SETTING_HOLDERSFILTER">Settings!$B$3</definedName>
    <definedName name="SETTING_TICKER">Settings!$B$2</definedName>
    <definedName name="solver_adj" localSheetId="4" hidden="1">'Alien Capital'!$R$25</definedName>
    <definedName name="solver_cvg" localSheetId="4" hidden="1">0.0001</definedName>
    <definedName name="solver_drv" localSheetId="4" hidden="1">2</definedName>
    <definedName name="solver_eng" localSheetId="4" hidden="1">1</definedName>
    <definedName name="solver_est" localSheetId="4" hidden="1">1</definedName>
    <definedName name="solver_itr" localSheetId="4" hidden="1">2147483647</definedName>
    <definedName name="solver_mip" localSheetId="4" hidden="1">2147483647</definedName>
    <definedName name="solver_mni" localSheetId="4" hidden="1">30</definedName>
    <definedName name="solver_mrt" localSheetId="4" hidden="1">0.075</definedName>
    <definedName name="solver_msl" localSheetId="4" hidden="1">2</definedName>
    <definedName name="solver_neg" localSheetId="4" hidden="1">1</definedName>
    <definedName name="solver_nod" localSheetId="4" hidden="1">2147483647</definedName>
    <definedName name="solver_num" localSheetId="4" hidden="1">0</definedName>
    <definedName name="solver_nwt" localSheetId="4" hidden="1">1</definedName>
    <definedName name="solver_opt" localSheetId="4" hidden="1">'Alien Capital'!$Y$173</definedName>
    <definedName name="solver_pre" localSheetId="4" hidden="1">0.000001</definedName>
    <definedName name="solver_rbv" localSheetId="4" hidden="1">2</definedName>
    <definedName name="solver_rlx" localSheetId="4" hidden="1">2</definedName>
    <definedName name="solver_rsd" localSheetId="4" hidden="1">0</definedName>
    <definedName name="solver_scl" localSheetId="4" hidden="1">2</definedName>
    <definedName name="solver_sho" localSheetId="4" hidden="1">2</definedName>
    <definedName name="solver_ssz" localSheetId="4" hidden="1">100</definedName>
    <definedName name="solver_tim" localSheetId="4" hidden="1">2147483647</definedName>
    <definedName name="solver_tol" localSheetId="4" hidden="1">0.01</definedName>
    <definedName name="solver_typ" localSheetId="4" hidden="1">3</definedName>
    <definedName name="solver_val" localSheetId="4" hidden="1">7.3</definedName>
    <definedName name="solver_ver" localSheetId="4" hidden="1">3</definedName>
  </definedNames>
  <calcPr calcId="152511"/>
</workbook>
</file>

<file path=xl/calcChain.xml><?xml version="1.0" encoding="utf-8"?>
<calcChain xmlns="http://schemas.openxmlformats.org/spreadsheetml/2006/main">
  <c r="P66" i="27" l="1"/>
  <c r="P51" i="27"/>
  <c r="E251" i="31"/>
  <c r="E252" i="31"/>
  <c r="W32" i="27"/>
  <c r="R32" i="27"/>
  <c r="R143" i="27"/>
  <c r="R137" i="27"/>
  <c r="E289" i="31" l="1"/>
  <c r="E291" i="31"/>
  <c r="P50" i="27" l="1"/>
  <c r="R29" i="27" l="1"/>
  <c r="R142" i="27"/>
  <c r="R141" i="27"/>
  <c r="R132" i="27"/>
  <c r="R136" i="27"/>
  <c r="R26" i="27" s="1"/>
  <c r="R122" i="27"/>
  <c r="R22" i="27" s="1"/>
  <c r="R113" i="27"/>
  <c r="R15" i="27" s="1"/>
  <c r="R112" i="27"/>
  <c r="R14" i="27" s="1"/>
  <c r="R492" i="27"/>
  <c r="R334" i="27"/>
  <c r="Q107" i="31" l="1"/>
  <c r="R107" i="31"/>
  <c r="Q106" i="31"/>
  <c r="R106" i="31"/>
  <c r="R173" i="31"/>
  <c r="R159" i="31"/>
  <c r="R151" i="31"/>
  <c r="Q141" i="31"/>
  <c r="R141" i="31"/>
  <c r="Q139" i="31"/>
  <c r="R139" i="31"/>
  <c r="R130" i="31"/>
  <c r="P448" i="27"/>
  <c r="P435" i="27"/>
  <c r="P427" i="27"/>
  <c r="R427" i="27" s="1"/>
  <c r="P419" i="27"/>
  <c r="O411" i="27"/>
  <c r="P411" i="27"/>
  <c r="P391" i="27"/>
  <c r="P393" i="27" s="1"/>
  <c r="P339" i="27"/>
  <c r="P324" i="27"/>
  <c r="R324" i="27" s="1"/>
  <c r="P323" i="27"/>
  <c r="R323" i="27" s="1"/>
  <c r="P322" i="27"/>
  <c r="R322" i="27" s="1"/>
  <c r="P325" i="27"/>
  <c r="P319" i="27"/>
  <c r="U319" i="27" s="1"/>
  <c r="P189" i="27"/>
  <c r="P190" i="27"/>
  <c r="P182" i="27"/>
  <c r="P186" i="27" s="1"/>
  <c r="P169" i="27"/>
  <c r="P172" i="27" s="1"/>
  <c r="P492" i="27"/>
  <c r="P494" i="27" s="1"/>
  <c r="P466" i="27"/>
  <c r="R463" i="27" s="1"/>
  <c r="P157" i="27"/>
  <c r="P161" i="27" s="1"/>
  <c r="P457" i="27"/>
  <c r="U457" i="27" s="1"/>
  <c r="P661" i="27"/>
  <c r="P662" i="27"/>
  <c r="P663" i="27"/>
  <c r="P664" i="27"/>
  <c r="P665" i="27"/>
  <c r="P666" i="27"/>
  <c r="P655" i="27"/>
  <c r="P656" i="27"/>
  <c r="P657" i="27"/>
  <c r="P658" i="27"/>
  <c r="P643" i="27"/>
  <c r="P627" i="27"/>
  <c r="P611" i="27"/>
  <c r="P584" i="27"/>
  <c r="P573" i="27"/>
  <c r="P599" i="27" s="1"/>
  <c r="P574" i="27"/>
  <c r="P600" i="27" s="1"/>
  <c r="P575" i="27"/>
  <c r="P601" i="27" s="1"/>
  <c r="P567" i="27"/>
  <c r="P593" i="27" s="1"/>
  <c r="P597" i="27" s="1"/>
  <c r="P568" i="27"/>
  <c r="P594" i="27" s="1"/>
  <c r="P569" i="27"/>
  <c r="P595" i="27" s="1"/>
  <c r="P570" i="27"/>
  <c r="P596" i="27" s="1"/>
  <c r="P558" i="27"/>
  <c r="P545" i="27"/>
  <c r="P532" i="27"/>
  <c r="P519" i="27"/>
  <c r="P506" i="27"/>
  <c r="O325" i="27"/>
  <c r="P301" i="27"/>
  <c r="U301" i="27" s="1"/>
  <c r="P302" i="27"/>
  <c r="P312" i="27"/>
  <c r="P83" i="27"/>
  <c r="P458" i="27" s="1"/>
  <c r="U458" i="27" s="1"/>
  <c r="P75" i="27"/>
  <c r="P85" i="27" s="1"/>
  <c r="P133" i="27"/>
  <c r="P145" i="27"/>
  <c r="P138" i="27"/>
  <c r="P124" i="27"/>
  <c r="P116" i="27"/>
  <c r="O457" i="27"/>
  <c r="T457" i="27" s="1"/>
  <c r="O661" i="27"/>
  <c r="O662" i="27"/>
  <c r="O663" i="27"/>
  <c r="O664" i="27"/>
  <c r="O665" i="27"/>
  <c r="O656" i="27"/>
  <c r="O650" i="27"/>
  <c r="O666" i="27" s="1"/>
  <c r="O639" i="27"/>
  <c r="O643" i="27"/>
  <c r="O634" i="27"/>
  <c r="O626" i="27"/>
  <c r="O658" i="27" s="1"/>
  <c r="O625" i="27"/>
  <c r="O657" i="27" s="1"/>
  <c r="O623" i="27"/>
  <c r="O627" i="27" s="1"/>
  <c r="O608" i="27"/>
  <c r="O611" i="27" s="1"/>
  <c r="O588" i="27"/>
  <c r="O583" i="27"/>
  <c r="O580" i="27"/>
  <c r="O584" i="27" s="1"/>
  <c r="O568" i="27"/>
  <c r="O594" i="27" s="1"/>
  <c r="O562" i="27"/>
  <c r="O561" i="27"/>
  <c r="O560" i="27"/>
  <c r="O573" i="27" s="1"/>
  <c r="O599" i="27" s="1"/>
  <c r="O557" i="27"/>
  <c r="O554" i="27"/>
  <c r="O558" i="27" s="1"/>
  <c r="O549" i="27"/>
  <c r="O548" i="27"/>
  <c r="O574" i="27" s="1"/>
  <c r="O600" i="27" s="1"/>
  <c r="O547" i="27"/>
  <c r="O544" i="27"/>
  <c r="O543" i="27"/>
  <c r="O569" i="27" s="1"/>
  <c r="O595" i="27" s="1"/>
  <c r="O541" i="27"/>
  <c r="O545" i="27" s="1"/>
  <c r="O531" i="27"/>
  <c r="O528" i="27"/>
  <c r="O523" i="27"/>
  <c r="O518" i="27"/>
  <c r="O515" i="27"/>
  <c r="O519" i="27" s="1"/>
  <c r="O510" i="27"/>
  <c r="O505" i="27"/>
  <c r="O502" i="27"/>
  <c r="O492" i="27"/>
  <c r="O494" i="27" s="1"/>
  <c r="O453" i="27"/>
  <c r="O451" i="27"/>
  <c r="O435" i="27"/>
  <c r="O427" i="27"/>
  <c r="O419" i="27"/>
  <c r="O393" i="27"/>
  <c r="O339" i="27"/>
  <c r="O338" i="27"/>
  <c r="O332" i="27"/>
  <c r="O335" i="27" s="1"/>
  <c r="O319" i="27"/>
  <c r="T319" i="27" s="1"/>
  <c r="O312" i="27"/>
  <c r="O302" i="27"/>
  <c r="O301" i="27"/>
  <c r="T301" i="27" s="1"/>
  <c r="O184" i="27"/>
  <c r="O181" i="27"/>
  <c r="O180" i="27"/>
  <c r="O179" i="27"/>
  <c r="O178" i="27"/>
  <c r="O190" i="27" s="1"/>
  <c r="O177" i="27"/>
  <c r="Q151" i="31" s="1"/>
  <c r="O133" i="27"/>
  <c r="O138" i="27" s="1"/>
  <c r="O145" i="27"/>
  <c r="O116" i="27"/>
  <c r="O124" i="27" s="1"/>
  <c r="Q138" i="31" s="1"/>
  <c r="R108" i="31" l="1"/>
  <c r="W108" i="31" s="1"/>
  <c r="Q108" i="31"/>
  <c r="V108" i="31" s="1"/>
  <c r="P162" i="27"/>
  <c r="O575" i="27"/>
  <c r="O601" i="27" s="1"/>
  <c r="O570" i="27"/>
  <c r="O596" i="27" s="1"/>
  <c r="O532" i="27"/>
  <c r="P571" i="27"/>
  <c r="P160" i="27"/>
  <c r="R114" i="31"/>
  <c r="W114" i="31" s="1"/>
  <c r="P89" i="27"/>
  <c r="P99" i="27"/>
  <c r="P102" i="27" s="1"/>
  <c r="O182" i="27"/>
  <c r="O186" i="27" s="1"/>
  <c r="U302" i="27"/>
  <c r="R115" i="31"/>
  <c r="W115" i="31" s="1"/>
  <c r="P163" i="27"/>
  <c r="P453" i="27"/>
  <c r="R138" i="31"/>
  <c r="O189" i="27"/>
  <c r="T302" i="27"/>
  <c r="Q115" i="31"/>
  <c r="V115" i="31" s="1"/>
  <c r="O567" i="27"/>
  <c r="O506" i="27"/>
  <c r="O655" i="27"/>
  <c r="O659" i="27" s="1"/>
  <c r="P659" i="27"/>
  <c r="Q114" i="31"/>
  <c r="V114" i="31" s="1"/>
  <c r="R157" i="31"/>
  <c r="R158" i="31" s="1"/>
  <c r="P147" i="27"/>
  <c r="O147" i="27"/>
  <c r="O83" i="27"/>
  <c r="O458" i="27" s="1"/>
  <c r="T458" i="27" s="1"/>
  <c r="O75" i="27"/>
  <c r="Q134" i="31"/>
  <c r="Q129" i="31"/>
  <c r="Q127" i="31"/>
  <c r="Q126" i="31"/>
  <c r="Q130" i="31" l="1"/>
  <c r="R161" i="31"/>
  <c r="O571" i="27"/>
  <c r="O593" i="27"/>
  <c r="O597" i="27" s="1"/>
  <c r="P311" i="27"/>
  <c r="P93" i="27"/>
  <c r="P95" i="27" s="1"/>
  <c r="R162" i="31"/>
  <c r="O85" i="27"/>
  <c r="E57" i="33"/>
  <c r="C45" i="33"/>
  <c r="R163" i="31" l="1"/>
  <c r="R165" i="31" s="1"/>
  <c r="R171" i="31" s="1"/>
  <c r="O99" i="27"/>
  <c r="O102" i="27" s="1"/>
  <c r="O89" i="27"/>
  <c r="A28" i="33"/>
  <c r="A21" i="33"/>
  <c r="A20" i="33"/>
  <c r="C20" i="33" s="1"/>
  <c r="O93" i="27" l="1"/>
  <c r="O95" i="27" s="1"/>
  <c r="O311" i="27"/>
  <c r="G168" i="33"/>
  <c r="F168" i="33"/>
  <c r="E168" i="33"/>
  <c r="F90" i="33"/>
  <c r="D90" i="33"/>
  <c r="E90" i="33"/>
  <c r="D168" i="33"/>
  <c r="E101" i="33" l="1"/>
  <c r="F101" i="33"/>
  <c r="G101" i="33"/>
  <c r="D101" i="33"/>
  <c r="E172" i="33" l="1"/>
  <c r="G172" i="33" s="1"/>
  <c r="D172" i="33"/>
  <c r="E189" i="33"/>
  <c r="G164" i="33"/>
  <c r="G10" i="33" s="1"/>
  <c r="A10" i="33" s="1"/>
  <c r="C10" i="33" s="1"/>
  <c r="F164" i="33"/>
  <c r="F170" i="33" s="1"/>
  <c r="F177" i="33" s="1"/>
  <c r="E164" i="33"/>
  <c r="D164" i="33"/>
  <c r="E170" i="33" l="1"/>
  <c r="E177" i="33" s="1"/>
  <c r="F172" i="33"/>
  <c r="D170" i="33"/>
  <c r="D177" i="33" s="1"/>
  <c r="G170" i="33"/>
  <c r="G177" i="33" s="1"/>
  <c r="G12" i="33" s="1"/>
  <c r="F189" i="33"/>
  <c r="G189" i="33"/>
  <c r="E146" i="33"/>
  <c r="F146" i="33"/>
  <c r="G146" i="33"/>
  <c r="E147" i="33"/>
  <c r="F147" i="33"/>
  <c r="G147" i="33"/>
  <c r="E148" i="33"/>
  <c r="F148" i="33"/>
  <c r="G148" i="33"/>
  <c r="E149" i="33"/>
  <c r="E155" i="33" s="1"/>
  <c r="F149" i="33"/>
  <c r="F155" i="33" s="1"/>
  <c r="G149" i="33"/>
  <c r="G155" i="33" s="1"/>
  <c r="E150" i="33"/>
  <c r="F150" i="33"/>
  <c r="G150" i="33"/>
  <c r="E151" i="33"/>
  <c r="F151" i="33"/>
  <c r="G151" i="33"/>
  <c r="D147" i="33"/>
  <c r="D148" i="33"/>
  <c r="D149" i="33"/>
  <c r="D155" i="33" s="1"/>
  <c r="D150" i="33"/>
  <c r="D151" i="33"/>
  <c r="D146" i="33"/>
  <c r="E137" i="33"/>
  <c r="E141" i="33" s="1"/>
  <c r="F137" i="33"/>
  <c r="F138" i="33" s="1"/>
  <c r="G137" i="33"/>
  <c r="G138" i="33" s="1"/>
  <c r="D137" i="33"/>
  <c r="D138" i="33" s="1"/>
  <c r="E129" i="33"/>
  <c r="F129" i="33"/>
  <c r="G129" i="33"/>
  <c r="D129" i="33"/>
  <c r="E128" i="33"/>
  <c r="F128" i="33"/>
  <c r="G128" i="33"/>
  <c r="D128" i="33"/>
  <c r="G88" i="33"/>
  <c r="E97" i="33"/>
  <c r="F97" i="33"/>
  <c r="G97" i="33"/>
  <c r="E88" i="33"/>
  <c r="F88" i="33"/>
  <c r="D97" i="33"/>
  <c r="D88" i="33"/>
  <c r="F80" i="33"/>
  <c r="F74" i="33"/>
  <c r="A12" i="33" l="1"/>
  <c r="C28" i="33" s="1"/>
  <c r="G28" i="33"/>
  <c r="G24" i="33"/>
  <c r="E110" i="33"/>
  <c r="E186" i="33" s="1"/>
  <c r="E163" i="33" s="1"/>
  <c r="E162" i="33" s="1"/>
  <c r="E124" i="33"/>
  <c r="G110" i="33"/>
  <c r="G186" i="33" s="1"/>
  <c r="G163" i="33" s="1"/>
  <c r="G169" i="33" s="1"/>
  <c r="G9" i="33"/>
  <c r="A9" i="33" s="1"/>
  <c r="G124" i="33"/>
  <c r="F114" i="33"/>
  <c r="F124" i="33"/>
  <c r="D116" i="33"/>
  <c r="D124" i="33"/>
  <c r="E138" i="33"/>
  <c r="E142" i="33" s="1"/>
  <c r="E143" i="33" s="1"/>
  <c r="D152" i="33"/>
  <c r="F142" i="33"/>
  <c r="E152" i="33"/>
  <c r="G152" i="33"/>
  <c r="F152" i="33"/>
  <c r="D141" i="33"/>
  <c r="D142" i="33"/>
  <c r="G141" i="33"/>
  <c r="G142" i="33"/>
  <c r="F141" i="33"/>
  <c r="D119" i="33"/>
  <c r="D115" i="33"/>
  <c r="F115" i="33"/>
  <c r="F109" i="33"/>
  <c r="F119" i="33"/>
  <c r="F110" i="33"/>
  <c r="F186" i="33" s="1"/>
  <c r="F163" i="33" s="1"/>
  <c r="F169" i="33" s="1"/>
  <c r="F117" i="33"/>
  <c r="D110" i="33"/>
  <c r="D186" i="33" s="1"/>
  <c r="D163" i="33" s="1"/>
  <c r="D169" i="33" s="1"/>
  <c r="D118" i="33"/>
  <c r="D193" i="33" s="1"/>
  <c r="D171" i="33" s="1"/>
  <c r="E119" i="33"/>
  <c r="G117" i="33"/>
  <c r="F116" i="33"/>
  <c r="E115" i="33"/>
  <c r="E118" i="33"/>
  <c r="E193" i="33" s="1"/>
  <c r="E171" i="33" s="1"/>
  <c r="G116" i="33"/>
  <c r="E114" i="33"/>
  <c r="D99" i="33"/>
  <c r="D117" i="33"/>
  <c r="G118" i="33"/>
  <c r="G193" i="33" s="1"/>
  <c r="G171" i="33" s="1"/>
  <c r="E116" i="33"/>
  <c r="G114" i="33"/>
  <c r="D109" i="33"/>
  <c r="D114" i="33"/>
  <c r="G119" i="33"/>
  <c r="F118" i="33"/>
  <c r="F193" i="33" s="1"/>
  <c r="F171" i="33" s="1"/>
  <c r="E117" i="33"/>
  <c r="G115" i="33"/>
  <c r="G109" i="33"/>
  <c r="E109" i="33"/>
  <c r="E111" i="33" s="1"/>
  <c r="G99" i="33"/>
  <c r="F99" i="33"/>
  <c r="E99" i="33"/>
  <c r="P53" i="27"/>
  <c r="P63" i="27"/>
  <c r="AA38" i="27"/>
  <c r="Y41" i="27"/>
  <c r="Z41" i="27"/>
  <c r="AA41" i="27"/>
  <c r="X41" i="27"/>
  <c r="S41" i="27"/>
  <c r="S42" i="27"/>
  <c r="T42" i="27" s="1"/>
  <c r="U42" i="27" s="1"/>
  <c r="X42" i="27" s="1"/>
  <c r="Y42" i="27" s="1"/>
  <c r="Z42" i="27" s="1"/>
  <c r="AA42" i="27" s="1"/>
  <c r="C12" i="33" l="1"/>
  <c r="C21" i="33"/>
  <c r="C9" i="33"/>
  <c r="C22" i="33"/>
  <c r="A24" i="33"/>
  <c r="C24" i="33" s="1"/>
  <c r="G25" i="33"/>
  <c r="A25" i="33" s="1"/>
  <c r="C25" i="33" s="1"/>
  <c r="G111" i="33"/>
  <c r="E169" i="33"/>
  <c r="G162" i="33"/>
  <c r="G187" i="33" s="1"/>
  <c r="G188" i="33" s="1"/>
  <c r="D122" i="33"/>
  <c r="D102" i="33"/>
  <c r="D125" i="33" s="1"/>
  <c r="F122" i="33"/>
  <c r="F102" i="33"/>
  <c r="F125" i="33" s="1"/>
  <c r="G122" i="33"/>
  <c r="G102" i="33"/>
  <c r="E122" i="33"/>
  <c r="E102" i="33"/>
  <c r="E125" i="33" s="1"/>
  <c r="E187" i="33"/>
  <c r="E188" i="33" s="1"/>
  <c r="E167" i="33"/>
  <c r="F162" i="33"/>
  <c r="D162" i="33"/>
  <c r="F143" i="33"/>
  <c r="F154" i="33" s="1"/>
  <c r="F156" i="33" s="1"/>
  <c r="D143" i="33"/>
  <c r="D154" i="33" s="1"/>
  <c r="D156" i="33" s="1"/>
  <c r="E154" i="33"/>
  <c r="E156" i="33" s="1"/>
  <c r="G143" i="33"/>
  <c r="G154" i="33" s="1"/>
  <c r="G156" i="33" s="1"/>
  <c r="D120" i="33"/>
  <c r="F120" i="33"/>
  <c r="F111" i="33"/>
  <c r="D111" i="33"/>
  <c r="G120" i="33"/>
  <c r="E120" i="33"/>
  <c r="T41" i="27"/>
  <c r="J40" i="31"/>
  <c r="E173" i="33" l="1"/>
  <c r="E175" i="33" s="1"/>
  <c r="E178" i="33" s="1"/>
  <c r="G15" i="33"/>
  <c r="A15" i="33" s="1"/>
  <c r="C15" i="33" s="1"/>
  <c r="G125" i="33"/>
  <c r="G167" i="33"/>
  <c r="G173" i="33" s="1"/>
  <c r="G175" i="33" s="1"/>
  <c r="F187" i="33"/>
  <c r="F188" i="33" s="1"/>
  <c r="F167" i="33"/>
  <c r="F173" i="33" s="1"/>
  <c r="F175" i="33" s="1"/>
  <c r="F178" i="33" s="1"/>
  <c r="D187" i="33"/>
  <c r="D188" i="33" s="1"/>
  <c r="D167" i="33"/>
  <c r="D173" i="33" s="1"/>
  <c r="D175" i="33" s="1"/>
  <c r="D178" i="33" s="1"/>
  <c r="U41" i="27"/>
  <c r="J58" i="31"/>
  <c r="O107" i="31"/>
  <c r="P107" i="31"/>
  <c r="D13" i="31"/>
  <c r="J13" i="31"/>
  <c r="M106" i="31"/>
  <c r="N106" i="31"/>
  <c r="O106" i="31"/>
  <c r="P106" i="31"/>
  <c r="Q237" i="31"/>
  <c r="R237" i="31" s="1"/>
  <c r="G178" i="33" l="1"/>
  <c r="G14" i="33"/>
  <c r="D14" i="31"/>
  <c r="J14" i="31" s="1"/>
  <c r="I289" i="31"/>
  <c r="Q95" i="31"/>
  <c r="J72" i="31"/>
  <c r="J62" i="31"/>
  <c r="J69" i="31"/>
  <c r="A14" i="33" l="1"/>
  <c r="C14" i="33" s="1"/>
  <c r="G27" i="33"/>
  <c r="D53" i="31"/>
  <c r="D44" i="31"/>
  <c r="J44" i="31" s="1"/>
  <c r="D43" i="31"/>
  <c r="J43" i="31" s="1"/>
  <c r="D48" i="31"/>
  <c r="G30" i="33" l="1"/>
  <c r="A27" i="33"/>
  <c r="C27" i="33" s="1"/>
  <c r="R78" i="31"/>
  <c r="A30" i="33" l="1"/>
  <c r="R80" i="31"/>
  <c r="J80" i="31" s="1"/>
  <c r="R79" i="31"/>
  <c r="J79" i="31" s="1"/>
  <c r="J78" i="31"/>
  <c r="I230" i="31"/>
  <c r="G156" i="27"/>
  <c r="G155" i="27"/>
  <c r="G154" i="27"/>
  <c r="K156" i="27"/>
  <c r="K155" i="27"/>
  <c r="K154" i="27"/>
  <c r="T105" i="31"/>
  <c r="L171" i="27"/>
  <c r="O171" i="27" s="1"/>
  <c r="H171" i="27"/>
  <c r="K171" i="27" s="1"/>
  <c r="N169" i="27"/>
  <c r="N172" i="27" s="1"/>
  <c r="M169" i="27"/>
  <c r="M172" i="27" s="1"/>
  <c r="J169" i="27"/>
  <c r="J172" i="27" s="1"/>
  <c r="I169" i="27"/>
  <c r="I172" i="27" s="1"/>
  <c r="L168" i="27"/>
  <c r="O168" i="27" s="1"/>
  <c r="H168" i="27"/>
  <c r="K168" i="27" s="1"/>
  <c r="L167" i="27"/>
  <c r="O167" i="27" s="1"/>
  <c r="Q173" i="31" s="1"/>
  <c r="H167" i="27"/>
  <c r="K167" i="27" s="1"/>
  <c r="L166" i="27"/>
  <c r="O166" i="27" s="1"/>
  <c r="O169" i="27" s="1"/>
  <c r="O172" i="27" s="1"/>
  <c r="H166" i="27"/>
  <c r="K166" i="27" s="1"/>
  <c r="K169" i="27" s="1"/>
  <c r="K172" i="27" s="1"/>
  <c r="N157" i="27"/>
  <c r="N160" i="27" s="1"/>
  <c r="J157" i="27"/>
  <c r="J160" i="27" s="1"/>
  <c r="L156" i="27"/>
  <c r="O156" i="27" s="1"/>
  <c r="H156" i="27"/>
  <c r="M155" i="27"/>
  <c r="M157" i="27" s="1"/>
  <c r="I155" i="27"/>
  <c r="I157" i="27" s="1"/>
  <c r="I160" i="27" s="1"/>
  <c r="L154" i="27"/>
  <c r="O154" i="27" s="1"/>
  <c r="H154" i="27"/>
  <c r="M160" i="27" l="1"/>
  <c r="H169" i="27"/>
  <c r="H172" i="27" s="1"/>
  <c r="K157" i="27"/>
  <c r="K161" i="27" s="1"/>
  <c r="G157" i="27"/>
  <c r="G162" i="27" s="1"/>
  <c r="R81" i="31"/>
  <c r="R82" i="31" s="1"/>
  <c r="J82" i="31" s="1"/>
  <c r="N161" i="27"/>
  <c r="J161" i="27"/>
  <c r="N162" i="27"/>
  <c r="J162" i="27"/>
  <c r="M161" i="27"/>
  <c r="I161" i="27"/>
  <c r="M162" i="27"/>
  <c r="I162" i="27"/>
  <c r="H155" i="27"/>
  <c r="L169" i="27"/>
  <c r="L172" i="27" s="1"/>
  <c r="L155" i="27"/>
  <c r="O155" i="27" s="1"/>
  <c r="Q159" i="31" s="1"/>
  <c r="F151" i="31"/>
  <c r="G151" i="31"/>
  <c r="H151" i="31"/>
  <c r="I151" i="31"/>
  <c r="J151" i="31"/>
  <c r="K151" i="31"/>
  <c r="L151" i="31"/>
  <c r="M151" i="31"/>
  <c r="N151" i="31"/>
  <c r="O151" i="31"/>
  <c r="P151" i="31"/>
  <c r="Q157" i="31" l="1"/>
  <c r="Q158" i="31" s="1"/>
  <c r="O157" i="27"/>
  <c r="G6" i="33" s="1"/>
  <c r="K160" i="27"/>
  <c r="K162" i="27"/>
  <c r="N163" i="27"/>
  <c r="M163" i="27"/>
  <c r="I163" i="27"/>
  <c r="J163" i="27"/>
  <c r="G161" i="27"/>
  <c r="G160" i="27"/>
  <c r="J81" i="31"/>
  <c r="L157" i="27"/>
  <c r="H157" i="27"/>
  <c r="N301" i="31"/>
  <c r="E274" i="31"/>
  <c r="I274" i="31" s="1"/>
  <c r="E250" i="31"/>
  <c r="I246" i="31"/>
  <c r="E240" i="31"/>
  <c r="E235" i="31"/>
  <c r="D235" i="31"/>
  <c r="C235" i="31"/>
  <c r="P141" i="31"/>
  <c r="P139" i="31"/>
  <c r="Y134" i="31"/>
  <c r="K134" i="31"/>
  <c r="L134" i="31" s="1"/>
  <c r="M134" i="31" s="1"/>
  <c r="G134" i="31"/>
  <c r="H134" i="31" s="1"/>
  <c r="I134" i="31" s="1"/>
  <c r="Y133" i="31"/>
  <c r="Y132" i="31"/>
  <c r="AC130" i="31"/>
  <c r="AB130" i="31"/>
  <c r="AA130" i="31"/>
  <c r="Z130" i="31"/>
  <c r="W130" i="31"/>
  <c r="V130" i="31"/>
  <c r="U130" i="31"/>
  <c r="T130" i="31"/>
  <c r="P130" i="31"/>
  <c r="O130" i="31"/>
  <c r="N130" i="31"/>
  <c r="J130" i="31"/>
  <c r="J135" i="31" s="1"/>
  <c r="F130" i="31"/>
  <c r="F135" i="31" s="1"/>
  <c r="F148" i="31" s="1"/>
  <c r="Y129" i="31"/>
  <c r="K129" i="31"/>
  <c r="L129" i="31" s="1"/>
  <c r="M129" i="31" s="1"/>
  <c r="G129" i="31"/>
  <c r="H129" i="31" s="1"/>
  <c r="I129" i="31" s="1"/>
  <c r="Y128" i="31"/>
  <c r="Y127" i="31"/>
  <c r="Y126" i="31"/>
  <c r="K126" i="31"/>
  <c r="L126" i="31" s="1"/>
  <c r="G126" i="31"/>
  <c r="M159" i="31"/>
  <c r="L159" i="31"/>
  <c r="I159" i="31"/>
  <c r="H159" i="31"/>
  <c r="O150" i="31"/>
  <c r="P150" i="31" s="1"/>
  <c r="Q150" i="31" s="1"/>
  <c r="R150" i="31" s="1"/>
  <c r="N150" i="31"/>
  <c r="M150" i="31"/>
  <c r="L150" i="31"/>
  <c r="K150" i="31"/>
  <c r="J150" i="31"/>
  <c r="I150" i="31"/>
  <c r="H150" i="31"/>
  <c r="G150" i="31"/>
  <c r="F150" i="31"/>
  <c r="Y147" i="31"/>
  <c r="O147" i="31"/>
  <c r="O173" i="31" s="1"/>
  <c r="P108" i="31"/>
  <c r="U108" i="31" s="1"/>
  <c r="O108" i="31"/>
  <c r="T108" i="31" s="1"/>
  <c r="N108" i="31"/>
  <c r="R109" i="31" s="1"/>
  <c r="M108" i="31"/>
  <c r="Q109" i="31" s="1"/>
  <c r="L108" i="31"/>
  <c r="U105" i="31"/>
  <c r="V105" i="31" s="1"/>
  <c r="W105" i="31" s="1"/>
  <c r="Y122" i="31"/>
  <c r="Y212" i="31" s="1"/>
  <c r="P173" i="31"/>
  <c r="K173" i="31"/>
  <c r="P159" i="31"/>
  <c r="T1" i="31"/>
  <c r="G1" i="31"/>
  <c r="H1" i="31" s="1"/>
  <c r="I1" i="31" s="1"/>
  <c r="J1" i="31" s="1"/>
  <c r="K1" i="31" s="1"/>
  <c r="L1" i="31" s="1"/>
  <c r="M1" i="31" s="1"/>
  <c r="N1" i="31" s="1"/>
  <c r="R97" i="27"/>
  <c r="S113" i="27"/>
  <c r="T113" i="27" s="1"/>
  <c r="U113" i="27" s="1"/>
  <c r="W113" i="27" s="1"/>
  <c r="X113" i="27" s="1"/>
  <c r="Y113" i="27" s="1"/>
  <c r="Z113" i="27" s="1"/>
  <c r="AA113" i="27" s="1"/>
  <c r="S137" i="27"/>
  <c r="T137" i="27" s="1"/>
  <c r="U137" i="27" s="1"/>
  <c r="W137" i="27" s="1"/>
  <c r="S136" i="27"/>
  <c r="T136" i="27" s="1"/>
  <c r="U136" i="27" s="1"/>
  <c r="W136" i="27" s="1"/>
  <c r="X136" i="27" s="1"/>
  <c r="Y136" i="27" s="1"/>
  <c r="Z136" i="27" s="1"/>
  <c r="AA136" i="27" s="1"/>
  <c r="W132" i="27"/>
  <c r="T437" i="27"/>
  <c r="S112" i="27"/>
  <c r="T112" i="27" s="1"/>
  <c r="U112" i="27" s="1"/>
  <c r="W112" i="27" s="1"/>
  <c r="X112" i="27" s="1"/>
  <c r="Y112" i="27" s="1"/>
  <c r="Z112" i="27" s="1"/>
  <c r="AA112" i="27" s="1"/>
  <c r="R396" i="27"/>
  <c r="R392" i="27" s="1"/>
  <c r="W385" i="27"/>
  <c r="W115" i="27"/>
  <c r="W123" i="27"/>
  <c r="S122" i="27"/>
  <c r="T122" i="27" s="1"/>
  <c r="U122" i="27" s="1"/>
  <c r="W122" i="27" s="1"/>
  <c r="X122" i="27" s="1"/>
  <c r="Y122" i="27" s="1"/>
  <c r="Z122" i="27" s="1"/>
  <c r="AA122" i="27" s="1"/>
  <c r="W494" i="27"/>
  <c r="W493" i="27"/>
  <c r="S437" i="27"/>
  <c r="U437" i="27"/>
  <c r="R437" i="27"/>
  <c r="R435" i="27" s="1"/>
  <c r="W388" i="27"/>
  <c r="W387" i="27"/>
  <c r="N339" i="27"/>
  <c r="R10" i="31" l="1"/>
  <c r="Q162" i="31"/>
  <c r="Q161" i="31"/>
  <c r="O160" i="27"/>
  <c r="O162" i="27"/>
  <c r="O161" i="27"/>
  <c r="L161" i="27"/>
  <c r="A6" i="33"/>
  <c r="C6" i="33" s="1"/>
  <c r="K163" i="27"/>
  <c r="G163" i="27"/>
  <c r="H160" i="27"/>
  <c r="H162" i="27"/>
  <c r="L160" i="27"/>
  <c r="L162" i="27"/>
  <c r="H161" i="27"/>
  <c r="P109" i="31"/>
  <c r="G125" i="31"/>
  <c r="Y130" i="31"/>
  <c r="L157" i="31"/>
  <c r="L158" i="31" s="1"/>
  <c r="M157" i="31"/>
  <c r="M158" i="31" s="1"/>
  <c r="P157" i="31"/>
  <c r="P158" i="31" s="1"/>
  <c r="Y213" i="31"/>
  <c r="M126" i="31"/>
  <c r="M130" i="31" s="1"/>
  <c r="L130" i="31"/>
  <c r="G130" i="31"/>
  <c r="H126" i="31"/>
  <c r="K130" i="31"/>
  <c r="K125" i="31"/>
  <c r="J148" i="31"/>
  <c r="U1" i="31"/>
  <c r="G35" i="29"/>
  <c r="G36" i="29"/>
  <c r="G37" i="29"/>
  <c r="G38" i="29"/>
  <c r="G39" i="29"/>
  <c r="G40" i="29"/>
  <c r="G41" i="29"/>
  <c r="G42" i="29"/>
  <c r="G43" i="29"/>
  <c r="G44" i="29"/>
  <c r="G45" i="29"/>
  <c r="G46" i="29"/>
  <c r="G47" i="29"/>
  <c r="G48" i="29"/>
  <c r="G49" i="29"/>
  <c r="G50" i="29"/>
  <c r="G51" i="29"/>
  <c r="G52" i="29"/>
  <c r="F52" i="29"/>
  <c r="F51" i="29"/>
  <c r="F50" i="29"/>
  <c r="F49" i="29"/>
  <c r="F48" i="29"/>
  <c r="F47" i="29"/>
  <c r="F46" i="29"/>
  <c r="F45" i="29"/>
  <c r="F44" i="29"/>
  <c r="F43" i="29"/>
  <c r="F42" i="29"/>
  <c r="F41" i="29"/>
  <c r="F40" i="29"/>
  <c r="F39" i="29"/>
  <c r="F38" i="29"/>
  <c r="F37" i="29"/>
  <c r="F36" i="29"/>
  <c r="F35" i="29"/>
  <c r="E35" i="29"/>
  <c r="E36" i="29"/>
  <c r="E37" i="29"/>
  <c r="E38" i="29"/>
  <c r="E39" i="29"/>
  <c r="E40" i="29"/>
  <c r="E41" i="29"/>
  <c r="E42" i="29"/>
  <c r="E43" i="29"/>
  <c r="E44" i="29"/>
  <c r="E45" i="29"/>
  <c r="E46" i="29"/>
  <c r="E47" i="29"/>
  <c r="E48" i="29"/>
  <c r="E49" i="29"/>
  <c r="E50" i="29"/>
  <c r="E51" i="29"/>
  <c r="E52" i="29"/>
  <c r="D52" i="29"/>
  <c r="D51" i="29"/>
  <c r="D50" i="29"/>
  <c r="D49" i="29"/>
  <c r="D48" i="29"/>
  <c r="D47" i="29"/>
  <c r="D46" i="29"/>
  <c r="D45" i="29"/>
  <c r="D44" i="29"/>
  <c r="D43" i="29"/>
  <c r="D42" i="29"/>
  <c r="D41" i="29"/>
  <c r="D40" i="29"/>
  <c r="D39" i="29"/>
  <c r="D38" i="29"/>
  <c r="D37" i="29"/>
  <c r="D36" i="29"/>
  <c r="D35" i="29"/>
  <c r="W650" i="27"/>
  <c r="W649" i="27"/>
  <c r="W648" i="27"/>
  <c r="W647" i="27"/>
  <c r="W646" i="27"/>
  <c r="W645" i="27"/>
  <c r="W642" i="27"/>
  <c r="W641" i="27"/>
  <c r="W640" i="27"/>
  <c r="W639" i="27"/>
  <c r="W634" i="27"/>
  <c r="W633" i="27"/>
  <c r="W632" i="27"/>
  <c r="W631" i="27"/>
  <c r="W630" i="27"/>
  <c r="W629" i="27"/>
  <c r="W626" i="27"/>
  <c r="W625" i="27"/>
  <c r="W624" i="27"/>
  <c r="W623" i="27"/>
  <c r="W618" i="27"/>
  <c r="W617" i="27"/>
  <c r="W616" i="27"/>
  <c r="W615" i="27"/>
  <c r="W614" i="27"/>
  <c r="W613" i="27"/>
  <c r="W610" i="27"/>
  <c r="W609" i="27"/>
  <c r="W608" i="27"/>
  <c r="W588" i="27"/>
  <c r="W587" i="27"/>
  <c r="W586" i="27"/>
  <c r="W583" i="27"/>
  <c r="W582" i="27"/>
  <c r="W581" i="27"/>
  <c r="W580" i="27"/>
  <c r="W575" i="27"/>
  <c r="W574" i="27"/>
  <c r="W573" i="27"/>
  <c r="W570" i="27"/>
  <c r="W569" i="27"/>
  <c r="W568" i="27"/>
  <c r="W567" i="27"/>
  <c r="W562" i="27"/>
  <c r="W561" i="27"/>
  <c r="W560" i="27"/>
  <c r="W557" i="27"/>
  <c r="W556" i="27"/>
  <c r="W555" i="27"/>
  <c r="W554" i="27"/>
  <c r="W549" i="27"/>
  <c r="W548" i="27"/>
  <c r="W547" i="27"/>
  <c r="W544" i="27"/>
  <c r="W543" i="27"/>
  <c r="W542" i="27"/>
  <c r="W541" i="27"/>
  <c r="W536" i="27"/>
  <c r="W535" i="27"/>
  <c r="W534" i="27"/>
  <c r="W531" i="27"/>
  <c r="W530" i="27"/>
  <c r="W529" i="27"/>
  <c r="W528" i="27"/>
  <c r="W523" i="27"/>
  <c r="W522" i="27"/>
  <c r="W521" i="27"/>
  <c r="W518" i="27"/>
  <c r="W517" i="27"/>
  <c r="W516" i="27"/>
  <c r="W515" i="27"/>
  <c r="W509" i="27"/>
  <c r="W510" i="27"/>
  <c r="W508" i="27"/>
  <c r="W503" i="27"/>
  <c r="W504" i="27"/>
  <c r="W505" i="27"/>
  <c r="W502" i="27"/>
  <c r="N392" i="27"/>
  <c r="N415" i="27"/>
  <c r="N416" i="27"/>
  <c r="N417" i="27"/>
  <c r="N418" i="27"/>
  <c r="N414" i="27"/>
  <c r="M400" i="27"/>
  <c r="N400" i="27" s="1"/>
  <c r="R400" i="27" s="1"/>
  <c r="N411" i="27"/>
  <c r="N435" i="27"/>
  <c r="N427" i="27"/>
  <c r="R450" i="27"/>
  <c r="N453" i="27"/>
  <c r="R453" i="27" s="1"/>
  <c r="R448" i="27" s="1"/>
  <c r="N451" i="27"/>
  <c r="N492" i="27"/>
  <c r="N494" i="27" s="1"/>
  <c r="N457" i="27"/>
  <c r="S457" i="27" s="1"/>
  <c r="N325" i="27"/>
  <c r="N319" i="27"/>
  <c r="S319" i="27" s="1"/>
  <c r="N312" i="27"/>
  <c r="N190" i="27"/>
  <c r="N189" i="27"/>
  <c r="N182" i="27"/>
  <c r="N186" i="27" s="1"/>
  <c r="N661" i="27"/>
  <c r="N662" i="27"/>
  <c r="N663" i="27"/>
  <c r="N664" i="27"/>
  <c r="N665" i="27"/>
  <c r="N666" i="27"/>
  <c r="N655" i="27"/>
  <c r="N656" i="27"/>
  <c r="N657" i="27"/>
  <c r="N658" i="27"/>
  <c r="N643" i="27"/>
  <c r="N627" i="27"/>
  <c r="N611" i="27"/>
  <c r="N584" i="27"/>
  <c r="N575" i="27"/>
  <c r="N601" i="27" s="1"/>
  <c r="N574" i="27"/>
  <c r="N600" i="27" s="1"/>
  <c r="N573" i="27"/>
  <c r="N599" i="27" s="1"/>
  <c r="N570" i="27"/>
  <c r="N596" i="27" s="1"/>
  <c r="N569" i="27"/>
  <c r="N595" i="27" s="1"/>
  <c r="N568" i="27"/>
  <c r="N594" i="27" s="1"/>
  <c r="N567" i="27"/>
  <c r="N593" i="27" s="1"/>
  <c r="N558" i="27"/>
  <c r="N545" i="27"/>
  <c r="N532" i="27"/>
  <c r="N519" i="27"/>
  <c r="N506" i="27"/>
  <c r="N145" i="27"/>
  <c r="N133" i="27"/>
  <c r="N138" i="27" s="1"/>
  <c r="N116" i="27"/>
  <c r="N124" i="27" s="1"/>
  <c r="N302" i="27"/>
  <c r="N301" i="27"/>
  <c r="S301" i="27" s="1"/>
  <c r="N83" i="27"/>
  <c r="N458" i="27" s="1"/>
  <c r="S458" i="27" s="1"/>
  <c r="N75" i="27"/>
  <c r="Q163" i="31" l="1"/>
  <c r="Q165" i="31" s="1"/>
  <c r="Q171" i="31" s="1"/>
  <c r="P115" i="31"/>
  <c r="U115" i="31" s="1"/>
  <c r="S302" i="27"/>
  <c r="O163" i="27"/>
  <c r="H163" i="27"/>
  <c r="L163" i="27"/>
  <c r="G135" i="31"/>
  <c r="H125" i="31" s="1"/>
  <c r="P114" i="31"/>
  <c r="U114" i="31" s="1"/>
  <c r="K135" i="31"/>
  <c r="L125" i="31" s="1"/>
  <c r="H130" i="31"/>
  <c r="I126" i="31"/>
  <c r="I130" i="31" s="1"/>
  <c r="E239" i="31"/>
  <c r="P138" i="31"/>
  <c r="V1" i="31"/>
  <c r="S453" i="27"/>
  <c r="T453" i="27" s="1"/>
  <c r="S141" i="27"/>
  <c r="D34" i="29"/>
  <c r="W596" i="27"/>
  <c r="W594" i="27"/>
  <c r="W665" i="27"/>
  <c r="W593" i="27"/>
  <c r="W599" i="27"/>
  <c r="W658" i="27"/>
  <c r="W506" i="27"/>
  <c r="W558" i="27"/>
  <c r="W627" i="27"/>
  <c r="W643" i="27"/>
  <c r="W661" i="27"/>
  <c r="W519" i="27"/>
  <c r="W545" i="27"/>
  <c r="W601" i="27"/>
  <c r="W611" i="27"/>
  <c r="W662" i="27"/>
  <c r="W666" i="27"/>
  <c r="W532" i="27"/>
  <c r="W584" i="27"/>
  <c r="W656" i="27"/>
  <c r="W657" i="27"/>
  <c r="W663" i="27"/>
  <c r="W571" i="27"/>
  <c r="W664" i="27"/>
  <c r="W655" i="27"/>
  <c r="W600" i="27"/>
  <c r="W595" i="27"/>
  <c r="N419" i="27"/>
  <c r="N147" i="27"/>
  <c r="N85" i="27"/>
  <c r="N597" i="27"/>
  <c r="N571" i="27"/>
  <c r="N659" i="27"/>
  <c r="P162" i="31" l="1"/>
  <c r="G148" i="31"/>
  <c r="H135" i="31"/>
  <c r="I125" i="31" s="1"/>
  <c r="P161" i="31"/>
  <c r="L135" i="31"/>
  <c r="M125" i="31" s="1"/>
  <c r="P234" i="31"/>
  <c r="R234" i="31"/>
  <c r="Q234" i="31"/>
  <c r="K148" i="31"/>
  <c r="W1" i="31"/>
  <c r="W597" i="27"/>
  <c r="W659" i="27"/>
  <c r="N99" i="27"/>
  <c r="N102" i="27" s="1"/>
  <c r="N89" i="27"/>
  <c r="L148" i="31" l="1"/>
  <c r="L180" i="31" s="1"/>
  <c r="L110" i="31" s="1"/>
  <c r="M135" i="31"/>
  <c r="N125" i="31" s="1"/>
  <c r="H148" i="31"/>
  <c r="P163" i="31"/>
  <c r="P165" i="31" s="1"/>
  <c r="I135" i="31"/>
  <c r="I148" i="31" s="1"/>
  <c r="P228" i="31"/>
  <c r="I240" i="31"/>
  <c r="R228" i="31"/>
  <c r="I234" i="31"/>
  <c r="Q228" i="31"/>
  <c r="Y1" i="31"/>
  <c r="N311" i="27"/>
  <c r="N93" i="27"/>
  <c r="N95" i="27" s="1"/>
  <c r="I235" i="31" l="1"/>
  <c r="L179" i="31"/>
  <c r="L181" i="31" s="1"/>
  <c r="M148" i="31"/>
  <c r="M179" i="31" s="1"/>
  <c r="P171" i="31"/>
  <c r="Q272" i="31"/>
  <c r="P272" i="31"/>
  <c r="I228" i="31"/>
  <c r="L202" i="31"/>
  <c r="R272" i="31"/>
  <c r="N135" i="31"/>
  <c r="O125" i="31" s="1"/>
  <c r="Z1" i="31"/>
  <c r="H506" i="27"/>
  <c r="H511" i="27" s="1"/>
  <c r="I502" i="27"/>
  <c r="I505" i="27"/>
  <c r="J505" i="27" s="1"/>
  <c r="K505" i="27" s="1"/>
  <c r="I510" i="27"/>
  <c r="J510" i="27" s="1"/>
  <c r="K510" i="27" s="1"/>
  <c r="H519" i="27"/>
  <c r="H524" i="27" s="1"/>
  <c r="I514" i="27" s="1"/>
  <c r="I515" i="27"/>
  <c r="I518" i="27"/>
  <c r="J518" i="27" s="1"/>
  <c r="K518" i="27" s="1"/>
  <c r="I523" i="27"/>
  <c r="J523" i="27" s="1"/>
  <c r="K523" i="27" s="1"/>
  <c r="H532" i="27"/>
  <c r="H537" i="27" s="1"/>
  <c r="I527" i="27" s="1"/>
  <c r="I528" i="27"/>
  <c r="I536" i="27"/>
  <c r="J536" i="27" s="1"/>
  <c r="K536" i="27" s="1"/>
  <c r="H545" i="27"/>
  <c r="H550" i="27" s="1"/>
  <c r="I540" i="27" s="1"/>
  <c r="I541" i="27"/>
  <c r="I543" i="27"/>
  <c r="J543" i="27" s="1"/>
  <c r="K543" i="27" s="1"/>
  <c r="K569" i="27" s="1"/>
  <c r="K595" i="27" s="1"/>
  <c r="I544" i="27"/>
  <c r="J544" i="27" s="1"/>
  <c r="K544" i="27" s="1"/>
  <c r="I548" i="27"/>
  <c r="J548" i="27" s="1"/>
  <c r="K548" i="27" s="1"/>
  <c r="I549" i="27"/>
  <c r="J549" i="27" s="1"/>
  <c r="K549" i="27" s="1"/>
  <c r="H558" i="27"/>
  <c r="H563" i="27" s="1"/>
  <c r="I553" i="27" s="1"/>
  <c r="I554" i="27"/>
  <c r="I557" i="27"/>
  <c r="J557" i="27" s="1"/>
  <c r="K557" i="27" s="1"/>
  <c r="I561" i="27"/>
  <c r="J561" i="27" s="1"/>
  <c r="K561" i="27" s="1"/>
  <c r="I562" i="27"/>
  <c r="J562" i="27" s="1"/>
  <c r="K562" i="27" s="1"/>
  <c r="H584" i="27"/>
  <c r="H589" i="27" s="1"/>
  <c r="I580" i="27"/>
  <c r="I583" i="27"/>
  <c r="J583" i="27" s="1"/>
  <c r="K583" i="27" s="1"/>
  <c r="I588" i="27"/>
  <c r="J588" i="27" s="1"/>
  <c r="K588" i="27" s="1"/>
  <c r="L506" i="27"/>
  <c r="L519" i="27"/>
  <c r="L532" i="27"/>
  <c r="L545" i="27"/>
  <c r="L558" i="27"/>
  <c r="L584" i="27"/>
  <c r="M506" i="27"/>
  <c r="M519" i="27"/>
  <c r="M532" i="27"/>
  <c r="M545" i="27"/>
  <c r="M558" i="27"/>
  <c r="M584" i="27"/>
  <c r="O159" i="31"/>
  <c r="J301" i="27"/>
  <c r="L114" i="31" s="1"/>
  <c r="L161" i="31" s="1"/>
  <c r="K301" i="27"/>
  <c r="M114" i="31" s="1"/>
  <c r="L301" i="27"/>
  <c r="N114" i="31" s="1"/>
  <c r="M301" i="27"/>
  <c r="J302" i="27"/>
  <c r="L115" i="31" s="1"/>
  <c r="L162" i="31" s="1"/>
  <c r="L184" i="31" s="1"/>
  <c r="K302" i="27"/>
  <c r="M115" i="31" s="1"/>
  <c r="L302" i="27"/>
  <c r="N115" i="31" s="1"/>
  <c r="M302" i="27"/>
  <c r="K159" i="31"/>
  <c r="I301" i="27"/>
  <c r="K114" i="31" s="1"/>
  <c r="H253" i="27"/>
  <c r="I302" i="27"/>
  <c r="K115" i="31" s="1"/>
  <c r="H301" i="27"/>
  <c r="J114" i="31" s="1"/>
  <c r="H302" i="27"/>
  <c r="J115" i="31" s="1"/>
  <c r="J173" i="31"/>
  <c r="D506" i="27"/>
  <c r="D511" i="27" s="1"/>
  <c r="D197" i="27" s="1"/>
  <c r="E502" i="27"/>
  <c r="E505" i="27"/>
  <c r="F505" i="27" s="1"/>
  <c r="G505" i="27" s="1"/>
  <c r="E510" i="27"/>
  <c r="F510" i="27" s="1"/>
  <c r="D519" i="27"/>
  <c r="D524" i="27" s="1"/>
  <c r="D206" i="27" s="1"/>
  <c r="E515" i="27"/>
  <c r="F515" i="27" s="1"/>
  <c r="E518" i="27"/>
  <c r="F518" i="27" s="1"/>
  <c r="E523" i="27"/>
  <c r="F523" i="27" s="1"/>
  <c r="G523" i="27" s="1"/>
  <c r="D532" i="27"/>
  <c r="D537" i="27" s="1"/>
  <c r="D207" i="27" s="1"/>
  <c r="E528" i="27"/>
  <c r="E531" i="27"/>
  <c r="F531" i="27" s="1"/>
  <c r="G531" i="27" s="1"/>
  <c r="E536" i="27"/>
  <c r="F536" i="27" s="1"/>
  <c r="G536" i="27" s="1"/>
  <c r="D545" i="27"/>
  <c r="D550" i="27" s="1"/>
  <c r="E541" i="27"/>
  <c r="F541" i="27" s="1"/>
  <c r="G541" i="27" s="1"/>
  <c r="E542" i="27"/>
  <c r="F542" i="27" s="1"/>
  <c r="E543" i="27"/>
  <c r="F543" i="27" s="1"/>
  <c r="E544" i="27"/>
  <c r="F544" i="27" s="1"/>
  <c r="G544" i="27" s="1"/>
  <c r="E547" i="27"/>
  <c r="E549" i="27"/>
  <c r="F549" i="27" s="1"/>
  <c r="G549" i="27" s="1"/>
  <c r="D558" i="27"/>
  <c r="D563" i="27" s="1"/>
  <c r="E553" i="27" s="1"/>
  <c r="E554" i="27"/>
  <c r="E556" i="27"/>
  <c r="F556" i="27" s="1"/>
  <c r="G556" i="27" s="1"/>
  <c r="E557" i="27"/>
  <c r="F557" i="27" s="1"/>
  <c r="G557" i="27" s="1"/>
  <c r="E560" i="27"/>
  <c r="F560" i="27" s="1"/>
  <c r="G560" i="27" s="1"/>
  <c r="E561" i="27"/>
  <c r="E562" i="27"/>
  <c r="F562" i="27" s="1"/>
  <c r="G562" i="27" s="1"/>
  <c r="D584" i="27"/>
  <c r="D589" i="27" s="1"/>
  <c r="E579" i="27" s="1"/>
  <c r="E580" i="27"/>
  <c r="E583" i="27"/>
  <c r="F583" i="27" s="1"/>
  <c r="G583" i="27" s="1"/>
  <c r="E588" i="27"/>
  <c r="F588" i="27" s="1"/>
  <c r="G588" i="27" s="1"/>
  <c r="G581" i="27"/>
  <c r="N173" i="31"/>
  <c r="G301" i="27"/>
  <c r="I114" i="31" s="1"/>
  <c r="G302" i="27"/>
  <c r="I115" i="31" s="1"/>
  <c r="F301" i="27"/>
  <c r="H114" i="31" s="1"/>
  <c r="F302" i="27"/>
  <c r="H115" i="31" s="1"/>
  <c r="M567" i="27"/>
  <c r="M568" i="27"/>
  <c r="M594" i="27" s="1"/>
  <c r="M569" i="27"/>
  <c r="M595" i="27" s="1"/>
  <c r="M570" i="27"/>
  <c r="M596" i="27" s="1"/>
  <c r="M573" i="27"/>
  <c r="M599" i="27" s="1"/>
  <c r="M574" i="27"/>
  <c r="M600" i="27" s="1"/>
  <c r="M575" i="27"/>
  <c r="M601" i="27" s="1"/>
  <c r="H611" i="27"/>
  <c r="H619" i="27" s="1"/>
  <c r="I611" i="27"/>
  <c r="J608" i="27"/>
  <c r="J611" i="27" s="1"/>
  <c r="L611" i="27"/>
  <c r="H627" i="27"/>
  <c r="H635" i="27" s="1"/>
  <c r="H226" i="27" s="1"/>
  <c r="I623" i="27"/>
  <c r="J623" i="27" s="1"/>
  <c r="I624" i="27"/>
  <c r="I656" i="27" s="1"/>
  <c r="I625" i="27"/>
  <c r="I626" i="27"/>
  <c r="J626" i="27" s="1"/>
  <c r="K626" i="27" s="1"/>
  <c r="I629" i="27"/>
  <c r="J629" i="27" s="1"/>
  <c r="K629" i="27" s="1"/>
  <c r="I631" i="27"/>
  <c r="I663" i="27" s="1"/>
  <c r="I634" i="27"/>
  <c r="L627" i="27"/>
  <c r="H643" i="27"/>
  <c r="H651" i="27" s="1"/>
  <c r="I638" i="27" s="1"/>
  <c r="I639" i="27"/>
  <c r="J639" i="27" s="1"/>
  <c r="K639" i="27" s="1"/>
  <c r="I641" i="27"/>
  <c r="J641" i="27" s="1"/>
  <c r="I642" i="27"/>
  <c r="J642" i="27" s="1"/>
  <c r="K642" i="27" s="1"/>
  <c r="I645" i="27"/>
  <c r="I661" i="27" s="1"/>
  <c r="I650" i="27"/>
  <c r="J650" i="27" s="1"/>
  <c r="K650" i="27" s="1"/>
  <c r="L643" i="27"/>
  <c r="M655" i="27"/>
  <c r="M656" i="27"/>
  <c r="M657" i="27"/>
  <c r="M658" i="27"/>
  <c r="M661" i="27"/>
  <c r="M662" i="27"/>
  <c r="M663" i="27"/>
  <c r="M664" i="27"/>
  <c r="M665" i="27"/>
  <c r="M666" i="27"/>
  <c r="M643" i="27"/>
  <c r="M627" i="27"/>
  <c r="M611" i="27"/>
  <c r="G28" i="29"/>
  <c r="F28" i="29"/>
  <c r="G27" i="29"/>
  <c r="F27" i="29"/>
  <c r="G474" i="27"/>
  <c r="H471" i="27" s="1"/>
  <c r="H474" i="27" s="1"/>
  <c r="I471" i="27" s="1"/>
  <c r="I474" i="27" s="1"/>
  <c r="J471" i="27" s="1"/>
  <c r="J474" i="27" s="1"/>
  <c r="K471" i="27" s="1"/>
  <c r="K474" i="27" s="1"/>
  <c r="L471" i="27" s="1"/>
  <c r="L474" i="27" s="1"/>
  <c r="M471" i="27" s="1"/>
  <c r="M474" i="27" s="1"/>
  <c r="N471" i="27" s="1"/>
  <c r="N474" i="27" s="1"/>
  <c r="O471" i="27" s="1"/>
  <c r="O474" i="27" s="1"/>
  <c r="P471" i="27" s="1"/>
  <c r="P474" i="27" s="1"/>
  <c r="G488" i="27"/>
  <c r="H485" i="27" s="1"/>
  <c r="H488" i="27" s="1"/>
  <c r="I485" i="27" s="1"/>
  <c r="I488" i="27" s="1"/>
  <c r="J485" i="27" s="1"/>
  <c r="J488" i="27" s="1"/>
  <c r="K485" i="27" s="1"/>
  <c r="K488" i="27" s="1"/>
  <c r="L485" i="27" s="1"/>
  <c r="L488" i="27" s="1"/>
  <c r="M485" i="27" s="1"/>
  <c r="M488" i="27" s="1"/>
  <c r="N485" i="27" s="1"/>
  <c r="N488" i="27" s="1"/>
  <c r="O485" i="27" s="1"/>
  <c r="O488" i="27" s="1"/>
  <c r="P485" i="27" s="1"/>
  <c r="P488" i="27" s="1"/>
  <c r="R485" i="27" s="1"/>
  <c r="J75" i="27"/>
  <c r="K75" i="27"/>
  <c r="L75" i="27"/>
  <c r="M75" i="27"/>
  <c r="E1" i="27"/>
  <c r="F1" i="27" s="1"/>
  <c r="G1" i="27" s="1"/>
  <c r="M116" i="27"/>
  <c r="M124" i="27" s="1"/>
  <c r="J83" i="27"/>
  <c r="K83" i="27"/>
  <c r="L83" i="27"/>
  <c r="L458" i="27" s="1"/>
  <c r="M83" i="27"/>
  <c r="M458" i="27" s="1"/>
  <c r="R458" i="27" s="1"/>
  <c r="W29" i="27"/>
  <c r="R346" i="27"/>
  <c r="A18" i="27"/>
  <c r="A17" i="27"/>
  <c r="A13" i="27"/>
  <c r="A15" i="27"/>
  <c r="A16" i="27"/>
  <c r="A12" i="27"/>
  <c r="E312" i="27"/>
  <c r="F312" i="27"/>
  <c r="G312" i="27"/>
  <c r="H312" i="27"/>
  <c r="I312" i="27"/>
  <c r="J312" i="27"/>
  <c r="K312" i="27"/>
  <c r="L312" i="27"/>
  <c r="M312" i="27"/>
  <c r="S97" i="27"/>
  <c r="T97" i="27" s="1"/>
  <c r="U97" i="27" s="1"/>
  <c r="W97" i="27" s="1"/>
  <c r="X97" i="27" s="1"/>
  <c r="Y97" i="27" s="1"/>
  <c r="Z97" i="27" s="1"/>
  <c r="AA97" i="27" s="1"/>
  <c r="W88" i="27"/>
  <c r="S143" i="27"/>
  <c r="T143" i="27" s="1"/>
  <c r="U143" i="27" s="1"/>
  <c r="W143" i="27" s="1"/>
  <c r="X143" i="27" s="1"/>
  <c r="Y143" i="27" s="1"/>
  <c r="Z143" i="27" s="1"/>
  <c r="AA143" i="27" s="1"/>
  <c r="S142" i="27"/>
  <c r="T142" i="27" s="1"/>
  <c r="U142" i="27" s="1"/>
  <c r="W142" i="27" s="1"/>
  <c r="X142" i="27" s="1"/>
  <c r="Y142" i="27" s="1"/>
  <c r="Z142" i="27" s="1"/>
  <c r="AA142" i="27" s="1"/>
  <c r="T141" i="27"/>
  <c r="U141" i="27" s="1"/>
  <c r="W141" i="27" s="1"/>
  <c r="X141" i="27" s="1"/>
  <c r="Y141" i="27" s="1"/>
  <c r="Z141" i="27" s="1"/>
  <c r="AA141" i="27" s="1"/>
  <c r="L492" i="27"/>
  <c r="L494" i="27" s="1"/>
  <c r="M492" i="27"/>
  <c r="M494" i="27" s="1"/>
  <c r="K492" i="27"/>
  <c r="K494" i="27" s="1"/>
  <c r="J492" i="27"/>
  <c r="J494" i="27" s="1"/>
  <c r="G466" i="27"/>
  <c r="H463" i="27" s="1"/>
  <c r="H466" i="27" s="1"/>
  <c r="I463" i="27" s="1"/>
  <c r="I466" i="27" s="1"/>
  <c r="J463" i="27" s="1"/>
  <c r="J466" i="27" s="1"/>
  <c r="K463" i="27" s="1"/>
  <c r="K466" i="27" s="1"/>
  <c r="L463" i="27" s="1"/>
  <c r="L466" i="27" s="1"/>
  <c r="M463" i="27" s="1"/>
  <c r="M466" i="27" s="1"/>
  <c r="N463" i="27" s="1"/>
  <c r="N466" i="27" s="1"/>
  <c r="I492" i="27"/>
  <c r="I494" i="27" s="1"/>
  <c r="G480" i="27"/>
  <c r="H492" i="27"/>
  <c r="H494" i="27" s="1"/>
  <c r="G494" i="27"/>
  <c r="H478" i="27"/>
  <c r="H480" i="27" s="1"/>
  <c r="I478" i="27"/>
  <c r="I480" i="27" s="1"/>
  <c r="J478" i="27"/>
  <c r="J480" i="27" s="1"/>
  <c r="W480" i="27"/>
  <c r="W479" i="27"/>
  <c r="W473" i="27"/>
  <c r="W472" i="27"/>
  <c r="W465" i="27"/>
  <c r="W464" i="27"/>
  <c r="X137" i="27"/>
  <c r="Y137" i="27" s="1"/>
  <c r="Z137" i="27" s="1"/>
  <c r="AA137" i="27" s="1"/>
  <c r="H457" i="27"/>
  <c r="I457" i="27"/>
  <c r="J457" i="27"/>
  <c r="K457" i="27"/>
  <c r="L457" i="27"/>
  <c r="M457" i="27"/>
  <c r="R457" i="27" s="1"/>
  <c r="S450" i="27"/>
  <c r="T450" i="27" s="1"/>
  <c r="U450" i="27" s="1"/>
  <c r="M451" i="27"/>
  <c r="G451" i="27"/>
  <c r="K448" i="27"/>
  <c r="K451" i="27" s="1"/>
  <c r="S435" i="27"/>
  <c r="M418" i="27"/>
  <c r="M417" i="27"/>
  <c r="M416" i="27"/>
  <c r="M415" i="27"/>
  <c r="M414" i="27"/>
  <c r="M401" i="27"/>
  <c r="S400" i="27"/>
  <c r="T400" i="27" s="1"/>
  <c r="U400" i="27" s="1"/>
  <c r="W400" i="27" s="1"/>
  <c r="X400" i="27" s="1"/>
  <c r="Y400" i="27" s="1"/>
  <c r="Z400" i="27" s="1"/>
  <c r="AA400" i="27" s="1"/>
  <c r="M399" i="27"/>
  <c r="M398" i="27"/>
  <c r="M397" i="27"/>
  <c r="N397" i="27" s="1"/>
  <c r="R397" i="27" s="1"/>
  <c r="M396" i="27"/>
  <c r="M392" i="27" s="1"/>
  <c r="G392" i="27"/>
  <c r="G391" i="27"/>
  <c r="K392" i="27"/>
  <c r="L392" i="27"/>
  <c r="L391" i="27"/>
  <c r="K391" i="27"/>
  <c r="G418" i="27"/>
  <c r="G417" i="27"/>
  <c r="G416" i="27"/>
  <c r="G415" i="27"/>
  <c r="G414" i="27"/>
  <c r="L419" i="27"/>
  <c r="J419" i="27"/>
  <c r="I419" i="27"/>
  <c r="H419" i="27"/>
  <c r="K415" i="27"/>
  <c r="K416" i="27"/>
  <c r="K417" i="27"/>
  <c r="K418" i="27"/>
  <c r="K414" i="27"/>
  <c r="M435" i="27"/>
  <c r="L435" i="27"/>
  <c r="K435" i="27"/>
  <c r="J435" i="27"/>
  <c r="I435" i="27"/>
  <c r="H435" i="27"/>
  <c r="G435" i="27"/>
  <c r="G427" i="27"/>
  <c r="H427" i="27"/>
  <c r="I427" i="27"/>
  <c r="J427" i="27"/>
  <c r="L427" i="27"/>
  <c r="M427" i="27"/>
  <c r="K427" i="27"/>
  <c r="G402" i="27"/>
  <c r="K402" i="27"/>
  <c r="M411" i="27"/>
  <c r="L411" i="27"/>
  <c r="M325" i="27"/>
  <c r="M319" i="27"/>
  <c r="R319" i="27" s="1"/>
  <c r="M190" i="27"/>
  <c r="M189" i="27"/>
  <c r="M145" i="27"/>
  <c r="M133" i="27"/>
  <c r="M138" i="27" s="1"/>
  <c r="M182" i="27"/>
  <c r="M186" i="27" s="1"/>
  <c r="X346" i="27"/>
  <c r="Y346" i="27"/>
  <c r="Z346" i="27"/>
  <c r="AA346" i="27"/>
  <c r="S346" i="27"/>
  <c r="T346" i="27"/>
  <c r="U346" i="27"/>
  <c r="A382" i="27"/>
  <c r="A383" i="27"/>
  <c r="A381" i="27"/>
  <c r="L332" i="27"/>
  <c r="L334" i="27"/>
  <c r="L337" i="27"/>
  <c r="L336" i="27" s="1"/>
  <c r="L338" i="27"/>
  <c r="M338" i="27" s="1"/>
  <c r="G332" i="27"/>
  <c r="G335" i="27" s="1"/>
  <c r="G339" i="27" s="1"/>
  <c r="K332" i="27"/>
  <c r="K335" i="27" s="1"/>
  <c r="K339" i="27" s="1"/>
  <c r="X411" i="27"/>
  <c r="Y411" i="27"/>
  <c r="Z411" i="27"/>
  <c r="AA411" i="27"/>
  <c r="W411" i="27"/>
  <c r="R411" i="27"/>
  <c r="S411" i="27"/>
  <c r="T411" i="27"/>
  <c r="U411" i="27"/>
  <c r="L402" i="27"/>
  <c r="L325" i="27"/>
  <c r="L322" i="27"/>
  <c r="M322" i="27" s="1"/>
  <c r="N322" i="27" s="1"/>
  <c r="L323" i="27"/>
  <c r="L324" i="27"/>
  <c r="K325" i="27"/>
  <c r="G325" i="27"/>
  <c r="H325" i="27"/>
  <c r="I325" i="27"/>
  <c r="J325" i="27"/>
  <c r="I319" i="27"/>
  <c r="J319" i="27"/>
  <c r="K319" i="27"/>
  <c r="L319" i="27"/>
  <c r="H319" i="27"/>
  <c r="G362" i="27"/>
  <c r="G361" i="27"/>
  <c r="G360" i="27"/>
  <c r="W486" i="27"/>
  <c r="S310" i="27"/>
  <c r="T310" i="27" s="1"/>
  <c r="U310" i="27" s="1"/>
  <c r="W185" i="27"/>
  <c r="E190" i="27"/>
  <c r="F190" i="27"/>
  <c r="G190" i="27"/>
  <c r="H190" i="27"/>
  <c r="I190" i="27"/>
  <c r="J190" i="27"/>
  <c r="K190" i="27"/>
  <c r="L190" i="27"/>
  <c r="E189" i="27"/>
  <c r="F189" i="27"/>
  <c r="G189" i="27"/>
  <c r="H189" i="27"/>
  <c r="I189" i="27"/>
  <c r="J189" i="27"/>
  <c r="K189" i="27"/>
  <c r="L189" i="27"/>
  <c r="AA666" i="27"/>
  <c r="Z666" i="27"/>
  <c r="Y666" i="27"/>
  <c r="X666" i="27"/>
  <c r="AA665" i="27"/>
  <c r="Z665" i="27"/>
  <c r="Y665" i="27"/>
  <c r="X665" i="27"/>
  <c r="AA664" i="27"/>
  <c r="Z664" i="27"/>
  <c r="Y664" i="27"/>
  <c r="X664" i="27"/>
  <c r="AA663" i="27"/>
  <c r="Z663" i="27"/>
  <c r="Y663" i="27"/>
  <c r="X663" i="27"/>
  <c r="AA662" i="27"/>
  <c r="Z662" i="27"/>
  <c r="Y662" i="27"/>
  <c r="X662" i="27"/>
  <c r="AA661" i="27"/>
  <c r="Z661" i="27"/>
  <c r="Y661" i="27"/>
  <c r="X661" i="27"/>
  <c r="U666" i="27"/>
  <c r="T666" i="27"/>
  <c r="S666" i="27"/>
  <c r="R666" i="27"/>
  <c r="U665" i="27"/>
  <c r="T665" i="27"/>
  <c r="S665" i="27"/>
  <c r="R665" i="27"/>
  <c r="U664" i="27"/>
  <c r="T664" i="27"/>
  <c r="S664" i="27"/>
  <c r="R664" i="27"/>
  <c r="U663" i="27"/>
  <c r="T663" i="27"/>
  <c r="S663" i="27"/>
  <c r="R663" i="27"/>
  <c r="U662" i="27"/>
  <c r="T662" i="27"/>
  <c r="S662" i="27"/>
  <c r="R662" i="27"/>
  <c r="U661" i="27"/>
  <c r="T661" i="27"/>
  <c r="S661" i="27"/>
  <c r="R661" i="27"/>
  <c r="AA643" i="27"/>
  <c r="Z643" i="27"/>
  <c r="Y643" i="27"/>
  <c r="X643" i="27"/>
  <c r="U643" i="27"/>
  <c r="T643" i="27"/>
  <c r="S643" i="27"/>
  <c r="R643" i="27"/>
  <c r="S627" i="27"/>
  <c r="T627" i="27"/>
  <c r="U627" i="27"/>
  <c r="AA658" i="27"/>
  <c r="Z658" i="27"/>
  <c r="Y658" i="27"/>
  <c r="AA657" i="27"/>
  <c r="Z657" i="27"/>
  <c r="Y657" i="27"/>
  <c r="AA656" i="27"/>
  <c r="Z656" i="27"/>
  <c r="Y656" i="27"/>
  <c r="AA655" i="27"/>
  <c r="Z655" i="27"/>
  <c r="Y655" i="27"/>
  <c r="X658" i="27"/>
  <c r="X657" i="27"/>
  <c r="X656" i="27"/>
  <c r="X655" i="27"/>
  <c r="U658" i="27"/>
  <c r="T658" i="27"/>
  <c r="S658" i="27"/>
  <c r="R658" i="27"/>
  <c r="U657" i="27"/>
  <c r="T657" i="27"/>
  <c r="S657" i="27"/>
  <c r="R657" i="27"/>
  <c r="U656" i="27"/>
  <c r="T656" i="27"/>
  <c r="S656" i="27"/>
  <c r="R656" i="27"/>
  <c r="U655" i="27"/>
  <c r="U659" i="27" s="1"/>
  <c r="T655" i="27"/>
  <c r="S655" i="27"/>
  <c r="R655" i="27"/>
  <c r="R627" i="27"/>
  <c r="X627" i="27"/>
  <c r="Y627" i="27"/>
  <c r="Z627" i="27"/>
  <c r="AA627" i="27"/>
  <c r="R611" i="27"/>
  <c r="S611" i="27"/>
  <c r="T611" i="27"/>
  <c r="U611" i="27"/>
  <c r="X611" i="27"/>
  <c r="Y611" i="27"/>
  <c r="Z611" i="27"/>
  <c r="AA611" i="27"/>
  <c r="AA601" i="27"/>
  <c r="Z601" i="27"/>
  <c r="Y601" i="27"/>
  <c r="X601" i="27"/>
  <c r="AA600" i="27"/>
  <c r="Z600" i="27"/>
  <c r="Y600" i="27"/>
  <c r="X600" i="27"/>
  <c r="AA599" i="27"/>
  <c r="Z599" i="27"/>
  <c r="Y599" i="27"/>
  <c r="X599" i="27"/>
  <c r="AA596" i="27"/>
  <c r="Z596" i="27"/>
  <c r="Y596" i="27"/>
  <c r="X596" i="27"/>
  <c r="AA595" i="27"/>
  <c r="Z595" i="27"/>
  <c r="Y595" i="27"/>
  <c r="X595" i="27"/>
  <c r="AA594" i="27"/>
  <c r="Z594" i="27"/>
  <c r="Y594" i="27"/>
  <c r="X594" i="27"/>
  <c r="AA593" i="27"/>
  <c r="AA597" i="27" s="1"/>
  <c r="Z593" i="27"/>
  <c r="Y593" i="27"/>
  <c r="X593" i="27"/>
  <c r="U601" i="27"/>
  <c r="T601" i="27"/>
  <c r="S601" i="27"/>
  <c r="R601" i="27"/>
  <c r="U600" i="27"/>
  <c r="T600" i="27"/>
  <c r="S600" i="27"/>
  <c r="R600" i="27"/>
  <c r="U599" i="27"/>
  <c r="T599" i="27"/>
  <c r="S599" i="27"/>
  <c r="R599" i="27"/>
  <c r="U596" i="27"/>
  <c r="T596" i="27"/>
  <c r="S596" i="27"/>
  <c r="R596" i="27"/>
  <c r="U595" i="27"/>
  <c r="T595" i="27"/>
  <c r="S595" i="27"/>
  <c r="R595" i="27"/>
  <c r="U594" i="27"/>
  <c r="T594" i="27"/>
  <c r="S594" i="27"/>
  <c r="R594" i="27"/>
  <c r="U593" i="27"/>
  <c r="U597" i="27" s="1"/>
  <c r="T593" i="27"/>
  <c r="T597" i="27" s="1"/>
  <c r="S593" i="27"/>
  <c r="S597" i="27" s="1"/>
  <c r="R593" i="27"/>
  <c r="AA584" i="27"/>
  <c r="Z584" i="27"/>
  <c r="Y584" i="27"/>
  <c r="X584" i="27"/>
  <c r="U584" i="27"/>
  <c r="T584" i="27"/>
  <c r="S584" i="27"/>
  <c r="R584" i="27"/>
  <c r="AA571" i="27"/>
  <c r="Z571" i="27"/>
  <c r="Y571" i="27"/>
  <c r="X571" i="27"/>
  <c r="U571" i="27"/>
  <c r="T571" i="27"/>
  <c r="S571" i="27"/>
  <c r="R571" i="27"/>
  <c r="AA558" i="27"/>
  <c r="Z558" i="27"/>
  <c r="Y558" i="27"/>
  <c r="X558" i="27"/>
  <c r="U558" i="27"/>
  <c r="T558" i="27"/>
  <c r="S558" i="27"/>
  <c r="R558" i="27"/>
  <c r="AA545" i="27"/>
  <c r="Z545" i="27"/>
  <c r="Y545" i="27"/>
  <c r="X545" i="27"/>
  <c r="U545" i="27"/>
  <c r="T545" i="27"/>
  <c r="S545" i="27"/>
  <c r="R545" i="27"/>
  <c r="AA532" i="27"/>
  <c r="Z532" i="27"/>
  <c r="Y532" i="27"/>
  <c r="X532" i="27"/>
  <c r="U532" i="27"/>
  <c r="T532" i="27"/>
  <c r="S532" i="27"/>
  <c r="R532" i="27"/>
  <c r="AA519" i="27"/>
  <c r="Z519" i="27"/>
  <c r="Y519" i="27"/>
  <c r="X519" i="27"/>
  <c r="U519" i="27"/>
  <c r="T519" i="27"/>
  <c r="S519" i="27"/>
  <c r="R519" i="27"/>
  <c r="X506" i="27"/>
  <c r="AA506" i="27"/>
  <c r="Z506" i="27"/>
  <c r="Y506" i="27"/>
  <c r="S506" i="27"/>
  <c r="T506" i="27"/>
  <c r="U506" i="27"/>
  <c r="R506" i="27"/>
  <c r="AA257" i="27"/>
  <c r="Z257" i="27"/>
  <c r="Y257" i="27"/>
  <c r="X257" i="27"/>
  <c r="AA256" i="27"/>
  <c r="Z256" i="27"/>
  <c r="Y256" i="27"/>
  <c r="X256" i="27"/>
  <c r="AA255" i="27"/>
  <c r="Z255" i="27"/>
  <c r="Y255" i="27"/>
  <c r="X255" i="27"/>
  <c r="AA254" i="27"/>
  <c r="Z254" i="27"/>
  <c r="Y254" i="27"/>
  <c r="X254" i="27"/>
  <c r="AA253" i="27"/>
  <c r="Z253" i="27"/>
  <c r="Y253" i="27"/>
  <c r="X253" i="27"/>
  <c r="R253" i="27"/>
  <c r="R254" i="27"/>
  <c r="R255" i="27"/>
  <c r="R256" i="27"/>
  <c r="R257" i="27"/>
  <c r="T254" i="27"/>
  <c r="U254" i="27"/>
  <c r="T255" i="27"/>
  <c r="U255" i="27"/>
  <c r="T256" i="27"/>
  <c r="U256" i="27"/>
  <c r="T257" i="27"/>
  <c r="U257" i="27"/>
  <c r="U253" i="27"/>
  <c r="T253" i="27"/>
  <c r="S254" i="27"/>
  <c r="S255" i="27"/>
  <c r="S256" i="27"/>
  <c r="S257" i="27"/>
  <c r="S253" i="27"/>
  <c r="D302" i="27"/>
  <c r="E302" i="27"/>
  <c r="D301" i="27"/>
  <c r="E301" i="27"/>
  <c r="L258" i="27"/>
  <c r="S258" i="27" s="1"/>
  <c r="L661" i="27"/>
  <c r="L662" i="27"/>
  <c r="L663" i="27"/>
  <c r="L664" i="27"/>
  <c r="L665" i="27"/>
  <c r="L666" i="27"/>
  <c r="L655" i="27"/>
  <c r="L656" i="27"/>
  <c r="L657" i="27"/>
  <c r="L658" i="27"/>
  <c r="L573" i="27"/>
  <c r="L599" i="27" s="1"/>
  <c r="L574" i="27"/>
  <c r="L600" i="27" s="1"/>
  <c r="L575" i="27"/>
  <c r="L601" i="27" s="1"/>
  <c r="L567" i="27"/>
  <c r="L568" i="27"/>
  <c r="L594" i="27" s="1"/>
  <c r="L569" i="27"/>
  <c r="L595" i="27" s="1"/>
  <c r="L570" i="27"/>
  <c r="L596" i="27" s="1"/>
  <c r="L182" i="27"/>
  <c r="L186" i="27" s="1"/>
  <c r="H666" i="27"/>
  <c r="D666" i="27"/>
  <c r="K665" i="27"/>
  <c r="J665" i="27"/>
  <c r="I665" i="27"/>
  <c r="H665" i="27"/>
  <c r="G665" i="27"/>
  <c r="F665" i="27"/>
  <c r="E665" i="27"/>
  <c r="D665" i="27"/>
  <c r="K664" i="27"/>
  <c r="J664" i="27"/>
  <c r="I664" i="27"/>
  <c r="H664" i="27"/>
  <c r="G664" i="27"/>
  <c r="F664" i="27"/>
  <c r="E664" i="27"/>
  <c r="D664" i="27"/>
  <c r="H663" i="27"/>
  <c r="D663" i="27"/>
  <c r="K662" i="27"/>
  <c r="J662" i="27"/>
  <c r="I662" i="27"/>
  <c r="H662" i="27"/>
  <c r="G662" i="27"/>
  <c r="F662" i="27"/>
  <c r="E662" i="27"/>
  <c r="D662" i="27"/>
  <c r="H661" i="27"/>
  <c r="D661" i="27"/>
  <c r="H658" i="27"/>
  <c r="D658" i="27"/>
  <c r="H657" i="27"/>
  <c r="D657" i="27"/>
  <c r="K656" i="27"/>
  <c r="J656" i="27"/>
  <c r="H656" i="27"/>
  <c r="D656" i="27"/>
  <c r="H655" i="27"/>
  <c r="D655" i="27"/>
  <c r="H654" i="27"/>
  <c r="D654" i="27"/>
  <c r="E650" i="27"/>
  <c r="E647" i="27"/>
  <c r="F647" i="27" s="1"/>
  <c r="G647" i="27" s="1"/>
  <c r="E645" i="27"/>
  <c r="F645" i="27" s="1"/>
  <c r="G645" i="27" s="1"/>
  <c r="D643" i="27"/>
  <c r="D651" i="27" s="1"/>
  <c r="E642" i="27"/>
  <c r="F642" i="27" s="1"/>
  <c r="G642" i="27" s="1"/>
  <c r="E641" i="27"/>
  <c r="F641" i="27" s="1"/>
  <c r="E640" i="27"/>
  <c r="F640" i="27" s="1"/>
  <c r="E639" i="27"/>
  <c r="F639" i="27" s="1"/>
  <c r="G639" i="27" s="1"/>
  <c r="E634" i="27"/>
  <c r="F634" i="27" s="1"/>
  <c r="E631" i="27"/>
  <c r="F631" i="27" s="1"/>
  <c r="G631" i="27" s="1"/>
  <c r="E629" i="27"/>
  <c r="D627" i="27"/>
  <c r="D635" i="27" s="1"/>
  <c r="E622" i="27" s="1"/>
  <c r="E626" i="27"/>
  <c r="E623" i="27"/>
  <c r="F623" i="27" s="1"/>
  <c r="G623" i="27" s="1"/>
  <c r="D611" i="27"/>
  <c r="D619" i="27" s="1"/>
  <c r="E608" i="27"/>
  <c r="F608" i="27" s="1"/>
  <c r="G608" i="27" s="1"/>
  <c r="G611" i="27" s="1"/>
  <c r="H575" i="27"/>
  <c r="H601" i="27" s="1"/>
  <c r="D575" i="27"/>
  <c r="D601" i="27" s="1"/>
  <c r="H574" i="27"/>
  <c r="H600" i="27" s="1"/>
  <c r="D574" i="27"/>
  <c r="D600" i="27" s="1"/>
  <c r="K573" i="27"/>
  <c r="K599" i="27" s="1"/>
  <c r="J573" i="27"/>
  <c r="J599" i="27" s="1"/>
  <c r="I573" i="27"/>
  <c r="I599" i="27" s="1"/>
  <c r="H573" i="27"/>
  <c r="H599" i="27" s="1"/>
  <c r="D573" i="27"/>
  <c r="D599" i="27" s="1"/>
  <c r="H570" i="27"/>
  <c r="H596" i="27" s="1"/>
  <c r="D570" i="27"/>
  <c r="D596" i="27" s="1"/>
  <c r="H569" i="27"/>
  <c r="H595" i="27" s="1"/>
  <c r="D569" i="27"/>
  <c r="K568" i="27"/>
  <c r="K594" i="27" s="1"/>
  <c r="J568" i="27"/>
  <c r="J594" i="27" s="1"/>
  <c r="I568" i="27"/>
  <c r="I594" i="27" s="1"/>
  <c r="H568" i="27"/>
  <c r="D568" i="27"/>
  <c r="D594" i="27" s="1"/>
  <c r="H567" i="27"/>
  <c r="H593" i="27" s="1"/>
  <c r="D567" i="27"/>
  <c r="D593" i="27" s="1"/>
  <c r="H566" i="27"/>
  <c r="H592" i="27" s="1"/>
  <c r="D566" i="27"/>
  <c r="L145" i="27"/>
  <c r="L133" i="27"/>
  <c r="L138" i="27" s="1"/>
  <c r="L116" i="27"/>
  <c r="L124" i="27" s="1"/>
  <c r="K145" i="27"/>
  <c r="J145" i="27"/>
  <c r="I145" i="27"/>
  <c r="H145" i="27"/>
  <c r="G145" i="27"/>
  <c r="K133" i="27"/>
  <c r="K138" i="27" s="1"/>
  <c r="J133" i="27"/>
  <c r="J138" i="27" s="1"/>
  <c r="I133" i="27"/>
  <c r="I138" i="27" s="1"/>
  <c r="H133" i="27"/>
  <c r="H138" i="27" s="1"/>
  <c r="G133" i="27"/>
  <c r="G138" i="27" s="1"/>
  <c r="K116" i="27"/>
  <c r="K124" i="27" s="1"/>
  <c r="J116" i="27"/>
  <c r="J124" i="27" s="1"/>
  <c r="I116" i="27"/>
  <c r="I124" i="27" s="1"/>
  <c r="H116" i="27"/>
  <c r="H124" i="27" s="1"/>
  <c r="G116" i="27"/>
  <c r="G124" i="27" s="1"/>
  <c r="J182" i="27"/>
  <c r="J186" i="27" s="1"/>
  <c r="I182" i="27"/>
  <c r="I186" i="27" s="1"/>
  <c r="H182" i="27"/>
  <c r="H186" i="27" s="1"/>
  <c r="F182" i="27"/>
  <c r="F186" i="27" s="1"/>
  <c r="E182" i="27"/>
  <c r="E186" i="27" s="1"/>
  <c r="D182" i="27"/>
  <c r="D186" i="27" s="1"/>
  <c r="K182" i="27"/>
  <c r="K186" i="27" s="1"/>
  <c r="G182" i="27"/>
  <c r="G186" i="27" s="1"/>
  <c r="S306" i="27"/>
  <c r="T306" i="27" s="1"/>
  <c r="U306" i="27" s="1"/>
  <c r="D83" i="27"/>
  <c r="D75" i="27"/>
  <c r="G88" i="27"/>
  <c r="E83" i="27"/>
  <c r="F83" i="27"/>
  <c r="G83" i="27"/>
  <c r="E75" i="27"/>
  <c r="F75" i="27"/>
  <c r="G75" i="27"/>
  <c r="H83" i="27"/>
  <c r="I83" i="27"/>
  <c r="H75" i="27"/>
  <c r="I75" i="27"/>
  <c r="L88" i="27"/>
  <c r="L91" i="27"/>
  <c r="K478" i="27"/>
  <c r="K481" i="27" s="1"/>
  <c r="L478" i="27" s="1"/>
  <c r="L481" i="27" s="1"/>
  <c r="M478" i="27" s="1"/>
  <c r="M481" i="27" s="1"/>
  <c r="N478" i="27" s="1"/>
  <c r="N481" i="27" s="1"/>
  <c r="Y88" i="27" l="1"/>
  <c r="AA88" i="27"/>
  <c r="Z88" i="27"/>
  <c r="X88" i="27"/>
  <c r="R471" i="27"/>
  <c r="P62" i="27"/>
  <c r="W450" i="27"/>
  <c r="X450" i="27" s="1"/>
  <c r="Y450" i="27" s="1"/>
  <c r="Z450" i="27" s="1"/>
  <c r="AA450" i="27" s="1"/>
  <c r="O115" i="31"/>
  <c r="T115" i="31" s="1"/>
  <c r="R302" i="27"/>
  <c r="O114" i="31"/>
  <c r="T114" i="31" s="1"/>
  <c r="R301" i="27"/>
  <c r="O478" i="27"/>
  <c r="O481" i="27" s="1"/>
  <c r="P478" i="27" s="1"/>
  <c r="P481" i="27" s="1"/>
  <c r="R478" i="27" s="1"/>
  <c r="O463" i="27"/>
  <c r="O466" i="27" s="1"/>
  <c r="L201" i="31"/>
  <c r="L205" i="31" s="1"/>
  <c r="L152" i="31"/>
  <c r="L104" i="31" s="1"/>
  <c r="M180" i="31"/>
  <c r="N148" i="31"/>
  <c r="O157" i="31"/>
  <c r="M152" i="31"/>
  <c r="M201" i="31"/>
  <c r="O135" i="31"/>
  <c r="P125" i="31" s="1"/>
  <c r="L206" i="31"/>
  <c r="I272" i="31"/>
  <c r="P282" i="31"/>
  <c r="M162" i="31"/>
  <c r="M184" i="31" s="1"/>
  <c r="M161" i="31"/>
  <c r="Q282" i="31"/>
  <c r="I307" i="31"/>
  <c r="L183" i="31"/>
  <c r="L185" i="31" s="1"/>
  <c r="L187" i="31" s="1"/>
  <c r="L163" i="31"/>
  <c r="L165" i="31" s="1"/>
  <c r="R282" i="31"/>
  <c r="AA1" i="31"/>
  <c r="Z597" i="27"/>
  <c r="I569" i="27"/>
  <c r="I595" i="27" s="1"/>
  <c r="W346" i="27"/>
  <c r="E34" i="29"/>
  <c r="J569" i="27"/>
  <c r="J595" i="27" s="1"/>
  <c r="X597" i="27"/>
  <c r="H147" i="27"/>
  <c r="G393" i="27"/>
  <c r="K147" i="27"/>
  <c r="J645" i="27"/>
  <c r="K645" i="27" s="1"/>
  <c r="K661" i="27" s="1"/>
  <c r="S396" i="27"/>
  <c r="S392" i="27" s="1"/>
  <c r="I655" i="27"/>
  <c r="D201" i="27"/>
  <c r="K574" i="27"/>
  <c r="K600" i="27" s="1"/>
  <c r="E575" i="27"/>
  <c r="E601" i="27" s="1"/>
  <c r="N401" i="27"/>
  <c r="R401" i="27" s="1"/>
  <c r="S401" i="27" s="1"/>
  <c r="T401" i="27" s="1"/>
  <c r="U401" i="27" s="1"/>
  <c r="K658" i="27"/>
  <c r="N399" i="27"/>
  <c r="N338" i="27"/>
  <c r="R338" i="27" s="1"/>
  <c r="S338" i="27" s="1"/>
  <c r="T338" i="27" s="1"/>
  <c r="U338" i="27" s="1"/>
  <c r="W338" i="27" s="1"/>
  <c r="X457" i="27"/>
  <c r="Y457" i="27" s="1"/>
  <c r="Z457" i="27" s="1"/>
  <c r="AA457" i="27" s="1"/>
  <c r="N398" i="27"/>
  <c r="R398" i="27" s="1"/>
  <c r="S398" i="27" s="1"/>
  <c r="T398" i="27" s="1"/>
  <c r="U398" i="27" s="1"/>
  <c r="W398" i="27" s="1"/>
  <c r="X398" i="27" s="1"/>
  <c r="Y398" i="27" s="1"/>
  <c r="Z398" i="27" s="1"/>
  <c r="AA398" i="27" s="1"/>
  <c r="E568" i="27"/>
  <c r="E594" i="27" s="1"/>
  <c r="L147" i="27"/>
  <c r="L393" i="27"/>
  <c r="J85" i="27"/>
  <c r="J99" i="27" s="1"/>
  <c r="J102" i="27" s="1"/>
  <c r="E656" i="27"/>
  <c r="F656" i="27"/>
  <c r="G640" i="27"/>
  <c r="G656" i="27" s="1"/>
  <c r="I579" i="27"/>
  <c r="H212" i="27"/>
  <c r="I567" i="27"/>
  <c r="I593" i="27" s="1"/>
  <c r="F85" i="27"/>
  <c r="F89" i="27" s="1"/>
  <c r="F93" i="27" s="1"/>
  <c r="F95" i="27" s="1"/>
  <c r="S659" i="27"/>
  <c r="D226" i="27"/>
  <c r="S362" i="27"/>
  <c r="I666" i="27"/>
  <c r="X258" i="27"/>
  <c r="E655" i="27"/>
  <c r="H659" i="27"/>
  <c r="H667" i="27" s="1"/>
  <c r="Z258" i="27"/>
  <c r="H198" i="27"/>
  <c r="F657" i="27"/>
  <c r="G641" i="27"/>
  <c r="G657" i="27" s="1"/>
  <c r="G518" i="27"/>
  <c r="G570" i="27" s="1"/>
  <c r="G596" i="27" s="1"/>
  <c r="F570" i="27"/>
  <c r="F596" i="27" s="1"/>
  <c r="E573" i="27"/>
  <c r="E599" i="27" s="1"/>
  <c r="J655" i="27"/>
  <c r="G663" i="27"/>
  <c r="I584" i="27"/>
  <c r="E85" i="27"/>
  <c r="E89" i="27" s="1"/>
  <c r="E93" i="27" s="1"/>
  <c r="E95" i="27" s="1"/>
  <c r="J570" i="27"/>
  <c r="J596" i="27" s="1"/>
  <c r="E570" i="27"/>
  <c r="E596" i="27" s="1"/>
  <c r="L659" i="27"/>
  <c r="U258" i="27"/>
  <c r="S355" i="27"/>
  <c r="S367" i="27" s="1"/>
  <c r="M147" i="27"/>
  <c r="K608" i="27"/>
  <c r="K611" i="27" s="1"/>
  <c r="D213" i="27"/>
  <c r="F547" i="27"/>
  <c r="G547" i="27" s="1"/>
  <c r="G573" i="27" s="1"/>
  <c r="G599" i="27" s="1"/>
  <c r="J458" i="27"/>
  <c r="L85" i="27"/>
  <c r="L99" i="27" s="1"/>
  <c r="L102" i="27" s="1"/>
  <c r="H85" i="27"/>
  <c r="H89" i="27" s="1"/>
  <c r="H93" i="27" s="1"/>
  <c r="H95" i="27" s="1"/>
  <c r="G85" i="27"/>
  <c r="G89" i="27" s="1"/>
  <c r="G93" i="27" s="1"/>
  <c r="G95" i="27" s="1"/>
  <c r="D85" i="27"/>
  <c r="D89" i="27" s="1"/>
  <c r="D93" i="27" s="1"/>
  <c r="D95" i="27" s="1"/>
  <c r="E663" i="27"/>
  <c r="E611" i="27"/>
  <c r="I574" i="27"/>
  <c r="I600" i="27" s="1"/>
  <c r="T659" i="27"/>
  <c r="M419" i="27"/>
  <c r="J631" i="27"/>
  <c r="J663" i="27" s="1"/>
  <c r="I622" i="27"/>
  <c r="D212" i="27"/>
  <c r="D209" i="27"/>
  <c r="G510" i="27"/>
  <c r="G575" i="27" s="1"/>
  <c r="G601" i="27" s="1"/>
  <c r="F575" i="27"/>
  <c r="F601" i="27" s="1"/>
  <c r="E627" i="27"/>
  <c r="E635" i="27" s="1"/>
  <c r="E658" i="27"/>
  <c r="K419" i="27"/>
  <c r="I627" i="27"/>
  <c r="J625" i="27"/>
  <c r="J627" i="27" s="1"/>
  <c r="E527" i="27"/>
  <c r="D199" i="27"/>
  <c r="E569" i="27"/>
  <c r="E595" i="27" s="1"/>
  <c r="I658" i="27"/>
  <c r="J658" i="27"/>
  <c r="H227" i="27"/>
  <c r="F626" i="27"/>
  <c r="F627" i="27" s="1"/>
  <c r="F629" i="27"/>
  <c r="G629" i="27" s="1"/>
  <c r="G661" i="27" s="1"/>
  <c r="E661" i="27"/>
  <c r="F643" i="27"/>
  <c r="X659" i="27"/>
  <c r="Z659" i="27"/>
  <c r="Y659" i="27"/>
  <c r="M324" i="27"/>
  <c r="M323" i="27"/>
  <c r="N323" i="27" s="1"/>
  <c r="S323" i="27" s="1"/>
  <c r="T323" i="27" s="1"/>
  <c r="U323" i="27" s="1"/>
  <c r="W323" i="27" s="1"/>
  <c r="X323" i="27" s="1"/>
  <c r="Y323" i="27" s="1"/>
  <c r="Z323" i="27" s="1"/>
  <c r="AA323" i="27" s="1"/>
  <c r="J634" i="27"/>
  <c r="I607" i="27"/>
  <c r="H225" i="27"/>
  <c r="J554" i="27"/>
  <c r="I558" i="27"/>
  <c r="I563" i="27" s="1"/>
  <c r="D208" i="27"/>
  <c r="E540" i="27"/>
  <c r="D200" i="27"/>
  <c r="J147" i="27"/>
  <c r="M334" i="27"/>
  <c r="G543" i="27"/>
  <c r="G569" i="27" s="1"/>
  <c r="G595" i="27" s="1"/>
  <c r="F569" i="27"/>
  <c r="F595" i="27" s="1"/>
  <c r="J580" i="27"/>
  <c r="I501" i="27"/>
  <c r="I566" i="27" s="1"/>
  <c r="H197" i="27"/>
  <c r="J575" i="27"/>
  <c r="J601" i="27" s="1"/>
  <c r="L335" i="27"/>
  <c r="L339" i="27" s="1"/>
  <c r="R360" i="27"/>
  <c r="R495" i="27"/>
  <c r="S494" i="27" s="1"/>
  <c r="I657" i="27"/>
  <c r="F561" i="27"/>
  <c r="E574" i="27"/>
  <c r="E600" i="27" s="1"/>
  <c r="G542" i="27"/>
  <c r="G568" i="27" s="1"/>
  <c r="G594" i="27" s="1"/>
  <c r="F568" i="27"/>
  <c r="F594" i="27" s="1"/>
  <c r="E567" i="27"/>
  <c r="E519" i="27"/>
  <c r="E501" i="27"/>
  <c r="D205" i="27"/>
  <c r="I532" i="27"/>
  <c r="I537" i="27" s="1"/>
  <c r="J528" i="27"/>
  <c r="K528" i="27" s="1"/>
  <c r="K532" i="27" s="1"/>
  <c r="K570" i="27"/>
  <c r="K596" i="27" s="1"/>
  <c r="I575" i="27"/>
  <c r="I601" i="27" s="1"/>
  <c r="G655" i="27"/>
  <c r="J574" i="27"/>
  <c r="J600" i="27" s="1"/>
  <c r="I147" i="27"/>
  <c r="H201" i="27"/>
  <c r="I570" i="27"/>
  <c r="Y597" i="27"/>
  <c r="R659" i="27"/>
  <c r="K393" i="27"/>
  <c r="H200" i="27"/>
  <c r="K575" i="27"/>
  <c r="K601" i="27" s="1"/>
  <c r="R481" i="27"/>
  <c r="S478" i="27" s="1"/>
  <c r="S481" i="27" s="1"/>
  <c r="T478" i="27" s="1"/>
  <c r="T481" i="27" s="1"/>
  <c r="U478" i="27" s="1"/>
  <c r="U481" i="27" s="1"/>
  <c r="W478" i="27"/>
  <c r="W481" i="27" s="1"/>
  <c r="X478" i="27" s="1"/>
  <c r="X481" i="27" s="1"/>
  <c r="Y478" i="27" s="1"/>
  <c r="Y481" i="27" s="1"/>
  <c r="Z478" i="27" s="1"/>
  <c r="Z481" i="27" s="1"/>
  <c r="AA478" i="27" s="1"/>
  <c r="AA481" i="27" s="1"/>
  <c r="H458" i="27"/>
  <c r="W319" i="27"/>
  <c r="X319" i="27" s="1"/>
  <c r="I458" i="27"/>
  <c r="R466" i="27"/>
  <c r="R467" i="27" s="1"/>
  <c r="W463" i="27"/>
  <c r="W466" i="27" s="1"/>
  <c r="H594" i="27"/>
  <c r="H597" i="27" s="1"/>
  <c r="H602" i="27" s="1"/>
  <c r="H571" i="27"/>
  <c r="H576" i="27" s="1"/>
  <c r="S356" i="27"/>
  <c r="S368" i="27" s="1"/>
  <c r="S354" i="27"/>
  <c r="S366" i="27" s="1"/>
  <c r="S361" i="27"/>
  <c r="S371" i="27" s="1"/>
  <c r="S357" i="27"/>
  <c r="S369" i="27" s="1"/>
  <c r="S358" i="27"/>
  <c r="S370" i="27" s="1"/>
  <c r="S360" i="27"/>
  <c r="S397" i="27"/>
  <c r="M402" i="27"/>
  <c r="M391" i="27"/>
  <c r="M393" i="27" s="1"/>
  <c r="G634" i="27"/>
  <c r="L593" i="27"/>
  <c r="L597" i="27" s="1"/>
  <c r="L571" i="27"/>
  <c r="I85" i="27"/>
  <c r="G147" i="27"/>
  <c r="D592" i="27"/>
  <c r="D595" i="27"/>
  <c r="D597" i="27" s="1"/>
  <c r="D571" i="27"/>
  <c r="D576" i="27" s="1"/>
  <c r="E607" i="27"/>
  <c r="D225" i="27"/>
  <c r="E657" i="27"/>
  <c r="E643" i="27"/>
  <c r="F650" i="27"/>
  <c r="G650" i="27" s="1"/>
  <c r="E666" i="27"/>
  <c r="R597" i="27"/>
  <c r="AA659" i="27"/>
  <c r="M85" i="27"/>
  <c r="H1" i="27"/>
  <c r="I1" i="27" s="1"/>
  <c r="R356" i="27"/>
  <c r="R368" i="27" s="1"/>
  <c r="R362" i="27"/>
  <c r="R354" i="27"/>
  <c r="R366" i="27" s="1"/>
  <c r="R358" i="27"/>
  <c r="R370" i="27" s="1"/>
  <c r="R361" i="27"/>
  <c r="R371" i="27" s="1"/>
  <c r="R355" i="27"/>
  <c r="R367" i="27" s="1"/>
  <c r="R357" i="27"/>
  <c r="R369" i="27" s="1"/>
  <c r="W471" i="27"/>
  <c r="W474" i="27" s="1"/>
  <c r="F655" i="27"/>
  <c r="F611" i="27"/>
  <c r="F663" i="27"/>
  <c r="D227" i="27"/>
  <c r="E638" i="27"/>
  <c r="D659" i="27"/>
  <c r="D667" i="27" s="1"/>
  <c r="AA258" i="27"/>
  <c r="T258" i="27"/>
  <c r="R258" i="27"/>
  <c r="Y258" i="27"/>
  <c r="S15" i="27"/>
  <c r="L340" i="27"/>
  <c r="M337" i="27"/>
  <c r="N337" i="27" s="1"/>
  <c r="S427" i="27"/>
  <c r="T427" i="27" s="1"/>
  <c r="R92" i="27"/>
  <c r="K85" i="27"/>
  <c r="K458" i="27"/>
  <c r="S322" i="27"/>
  <c r="G419" i="27"/>
  <c r="J643" i="27"/>
  <c r="F554" i="27"/>
  <c r="E558" i="27"/>
  <c r="E563" i="27" s="1"/>
  <c r="E506" i="27"/>
  <c r="F502" i="27"/>
  <c r="M659" i="27"/>
  <c r="E584" i="27"/>
  <c r="E589" i="27" s="1"/>
  <c r="F580" i="27"/>
  <c r="K641" i="27"/>
  <c r="I643" i="27"/>
  <c r="I651" i="27" s="1"/>
  <c r="M593" i="27"/>
  <c r="M597" i="27" s="1"/>
  <c r="M571" i="27"/>
  <c r="F545" i="27"/>
  <c r="N159" i="31"/>
  <c r="I519" i="27"/>
  <c r="I524" i="27" s="1"/>
  <c r="J515" i="27"/>
  <c r="K623" i="27"/>
  <c r="E514" i="27"/>
  <c r="D198" i="27"/>
  <c r="E545" i="27"/>
  <c r="E532" i="27"/>
  <c r="F528" i="27"/>
  <c r="F519" i="27"/>
  <c r="G515" i="27"/>
  <c r="H199" i="27"/>
  <c r="I506" i="27"/>
  <c r="J502" i="27"/>
  <c r="J541" i="27"/>
  <c r="I545" i="27"/>
  <c r="I550" i="27" s="1"/>
  <c r="J159" i="31"/>
  <c r="X338" i="27" l="1"/>
  <c r="Y338" i="27" s="1"/>
  <c r="Z338" i="27" s="1"/>
  <c r="AA338" i="27" s="1"/>
  <c r="O340" i="27"/>
  <c r="P269" i="31"/>
  <c r="I269" i="31" s="1"/>
  <c r="P225" i="31"/>
  <c r="R399" i="27"/>
  <c r="S399" i="27" s="1"/>
  <c r="T399" i="27" s="1"/>
  <c r="U399" i="27" s="1"/>
  <c r="W399" i="27" s="1"/>
  <c r="X399" i="27" s="1"/>
  <c r="Y399" i="27" s="1"/>
  <c r="Z399" i="27" s="1"/>
  <c r="AA399" i="27" s="1"/>
  <c r="G36" i="33"/>
  <c r="L203" i="31"/>
  <c r="M181" i="31"/>
  <c r="M110" i="31"/>
  <c r="L207" i="31"/>
  <c r="M202" i="31"/>
  <c r="M206" i="31" s="1"/>
  <c r="I282" i="31"/>
  <c r="H108" i="31"/>
  <c r="L109" i="31" s="1"/>
  <c r="H157" i="31"/>
  <c r="M205" i="31"/>
  <c r="O148" i="31"/>
  <c r="O179" i="31" s="1"/>
  <c r="I108" i="31"/>
  <c r="M109" i="31" s="1"/>
  <c r="I157" i="31"/>
  <c r="M104" i="31"/>
  <c r="N157" i="31"/>
  <c r="N158" i="31" s="1"/>
  <c r="P135" i="31"/>
  <c r="K108" i="31"/>
  <c r="O109" i="31" s="1"/>
  <c r="K157" i="31"/>
  <c r="O158" i="31"/>
  <c r="M183" i="31"/>
  <c r="M185" i="31" s="1"/>
  <c r="M163" i="31"/>
  <c r="M165" i="31" s="1"/>
  <c r="J108" i="31"/>
  <c r="N109" i="31" s="1"/>
  <c r="J157" i="31"/>
  <c r="O161" i="31"/>
  <c r="AB1" i="31"/>
  <c r="R9" i="27"/>
  <c r="N324" i="27"/>
  <c r="S324" i="27" s="1"/>
  <c r="T324" i="27" s="1"/>
  <c r="U324" i="27" s="1"/>
  <c r="W324" i="27" s="1"/>
  <c r="X324" i="27" s="1"/>
  <c r="Y324" i="27" s="1"/>
  <c r="Z324" i="27" s="1"/>
  <c r="AA324" i="27" s="1"/>
  <c r="S14" i="27"/>
  <c r="T397" i="27"/>
  <c r="W401" i="27"/>
  <c r="X401" i="27" s="1"/>
  <c r="Y401" i="27" s="1"/>
  <c r="Z401" i="27" s="1"/>
  <c r="AA401" i="27" s="1"/>
  <c r="N335" i="27"/>
  <c r="G34" i="29"/>
  <c r="F661" i="27"/>
  <c r="J1" i="27"/>
  <c r="K1" i="27" s="1"/>
  <c r="L1" i="27" s="1"/>
  <c r="M335" i="27"/>
  <c r="M339" i="27" s="1"/>
  <c r="N334" i="27"/>
  <c r="S334" i="27" s="1"/>
  <c r="T334" i="27" s="1"/>
  <c r="U334" i="27" s="1"/>
  <c r="W334" i="27" s="1"/>
  <c r="X334" i="27" s="1"/>
  <c r="Y334" i="27" s="1"/>
  <c r="Z334" i="27" s="1"/>
  <c r="AA334" i="27" s="1"/>
  <c r="J661" i="27"/>
  <c r="I589" i="27"/>
  <c r="I212" i="27" s="1"/>
  <c r="I213" i="27" s="1"/>
  <c r="I242" i="27" s="1"/>
  <c r="F99" i="27"/>
  <c r="F102" i="27" s="1"/>
  <c r="H228" i="27"/>
  <c r="N391" i="27"/>
  <c r="N393" i="27" s="1"/>
  <c r="G519" i="27"/>
  <c r="S492" i="27"/>
  <c r="N340" i="27"/>
  <c r="J89" i="27"/>
  <c r="J311" i="27" s="1"/>
  <c r="E659" i="27"/>
  <c r="H99" i="27"/>
  <c r="H102" i="27" s="1"/>
  <c r="K631" i="27"/>
  <c r="K663" i="27" s="1"/>
  <c r="E511" i="27"/>
  <c r="E197" i="27" s="1"/>
  <c r="G99" i="27"/>
  <c r="G102" i="27" s="1"/>
  <c r="I635" i="27"/>
  <c r="I226" i="27" s="1"/>
  <c r="I232" i="27" s="1"/>
  <c r="J532" i="27"/>
  <c r="G545" i="27"/>
  <c r="E99" i="27"/>
  <c r="E102" i="27" s="1"/>
  <c r="D210" i="27"/>
  <c r="F149" i="31" s="1"/>
  <c r="E537" i="27"/>
  <c r="E199" i="27" s="1"/>
  <c r="E571" i="27"/>
  <c r="F573" i="27"/>
  <c r="F599" i="27" s="1"/>
  <c r="I511" i="27"/>
  <c r="I197" i="27" s="1"/>
  <c r="E593" i="27"/>
  <c r="E597" i="27" s="1"/>
  <c r="T435" i="27"/>
  <c r="U435" i="27" s="1"/>
  <c r="D99" i="27"/>
  <c r="L89" i="27"/>
  <c r="E651" i="27"/>
  <c r="F638" i="27" s="1"/>
  <c r="F651" i="27" s="1"/>
  <c r="G643" i="27"/>
  <c r="E550" i="27"/>
  <c r="E200" i="27" s="1"/>
  <c r="I659" i="27"/>
  <c r="I619" i="27"/>
  <c r="I654" i="27"/>
  <c r="K634" i="27"/>
  <c r="K666" i="27" s="1"/>
  <c r="J666" i="27"/>
  <c r="K625" i="27"/>
  <c r="K627" i="27" s="1"/>
  <c r="J657" i="27"/>
  <c r="J659" i="27" s="1"/>
  <c r="S372" i="27"/>
  <c r="S344" i="27" s="1"/>
  <c r="G626" i="27"/>
  <c r="F658" i="27"/>
  <c r="F659" i="27" s="1"/>
  <c r="G561" i="27"/>
  <c r="G574" i="27" s="1"/>
  <c r="G600" i="27" s="1"/>
  <c r="F574" i="27"/>
  <c r="F600" i="27" s="1"/>
  <c r="J584" i="27"/>
  <c r="K580" i="27"/>
  <c r="K584" i="27" s="1"/>
  <c r="I596" i="27"/>
  <c r="I597" i="27" s="1"/>
  <c r="I571" i="27"/>
  <c r="I576" i="27" s="1"/>
  <c r="I592" i="27"/>
  <c r="J558" i="27"/>
  <c r="K554" i="27"/>
  <c r="K558" i="27" s="1"/>
  <c r="S26" i="27"/>
  <c r="I200" i="27"/>
  <c r="J540" i="27"/>
  <c r="E524" i="27"/>
  <c r="E566" i="27"/>
  <c r="S448" i="27"/>
  <c r="R451" i="27"/>
  <c r="R121" i="27" s="1"/>
  <c r="X463" i="27"/>
  <c r="R372" i="27"/>
  <c r="R344" i="27" s="1"/>
  <c r="T355" i="27"/>
  <c r="T367" i="27" s="1"/>
  <c r="T357" i="27"/>
  <c r="T369" i="27" s="1"/>
  <c r="T361" i="27"/>
  <c r="T371" i="27" s="1"/>
  <c r="T354" i="27"/>
  <c r="T366" i="27" s="1"/>
  <c r="T358" i="27"/>
  <c r="T370" i="27" s="1"/>
  <c r="T356" i="27"/>
  <c r="T368" i="27" s="1"/>
  <c r="T360" i="27"/>
  <c r="T362" i="27"/>
  <c r="S463" i="27"/>
  <c r="J638" i="27"/>
  <c r="I227" i="27"/>
  <c r="H202" i="27"/>
  <c r="E201" i="27"/>
  <c r="F553" i="27"/>
  <c r="K541" i="27"/>
  <c r="K545" i="27" s="1"/>
  <c r="J545" i="27"/>
  <c r="K502" i="27"/>
  <c r="J506" i="27"/>
  <c r="J567" i="27"/>
  <c r="D202" i="27"/>
  <c r="K655" i="27"/>
  <c r="K643" i="27"/>
  <c r="F584" i="27"/>
  <c r="G580" i="27"/>
  <c r="G584" i="27" s="1"/>
  <c r="T15" i="27"/>
  <c r="F622" i="27"/>
  <c r="F635" i="27" s="1"/>
  <c r="E226" i="27"/>
  <c r="E232" i="27" s="1"/>
  <c r="E619" i="27"/>
  <c r="E654" i="27"/>
  <c r="D602" i="27"/>
  <c r="D669" i="27" s="1"/>
  <c r="I99" i="27"/>
  <c r="I102" i="27" s="1"/>
  <c r="I89" i="27"/>
  <c r="F666" i="27"/>
  <c r="R488" i="27"/>
  <c r="Y319" i="27"/>
  <c r="J553" i="27"/>
  <c r="I201" i="27"/>
  <c r="J519" i="27"/>
  <c r="K515" i="27"/>
  <c r="K519" i="27" s="1"/>
  <c r="F579" i="27"/>
  <c r="E212" i="27"/>
  <c r="G554" i="27"/>
  <c r="G558" i="27" s="1"/>
  <c r="F558" i="27"/>
  <c r="T396" i="27"/>
  <c r="T392" i="27" s="1"/>
  <c r="I198" i="27"/>
  <c r="J514" i="27"/>
  <c r="G528" i="27"/>
  <c r="G532" i="27" s="1"/>
  <c r="F532" i="27"/>
  <c r="F506" i="27"/>
  <c r="G502" i="27"/>
  <c r="F567" i="27"/>
  <c r="S92" i="27"/>
  <c r="S9" i="27" s="1"/>
  <c r="R419" i="27"/>
  <c r="R120" i="27" s="1"/>
  <c r="R474" i="27"/>
  <c r="I199" i="27"/>
  <c r="J527" i="27"/>
  <c r="T322" i="27"/>
  <c r="K89" i="27"/>
  <c r="K99" i="27"/>
  <c r="M340" i="27"/>
  <c r="W135" i="27"/>
  <c r="X471" i="27"/>
  <c r="M99" i="27"/>
  <c r="M102" i="27" s="1"/>
  <c r="M89" i="27"/>
  <c r="D228" i="27"/>
  <c r="G666" i="27"/>
  <c r="H320" i="27"/>
  <c r="H669" i="27"/>
  <c r="S485" i="27" l="1"/>
  <c r="Q125" i="31"/>
  <c r="K102" i="27"/>
  <c r="A36" i="33"/>
  <c r="C36" i="33" s="1"/>
  <c r="L209" i="31"/>
  <c r="M187" i="31"/>
  <c r="M203" i="31"/>
  <c r="M207" i="31"/>
  <c r="P148" i="31"/>
  <c r="P180" i="31" s="1"/>
  <c r="P110" i="31" s="1"/>
  <c r="N180" i="31"/>
  <c r="N110" i="31" s="1"/>
  <c r="N162" i="31"/>
  <c r="N184" i="31" s="1"/>
  <c r="J179" i="31"/>
  <c r="J161" i="31"/>
  <c r="O152" i="31"/>
  <c r="O201" i="31"/>
  <c r="K179" i="31"/>
  <c r="K161" i="31"/>
  <c r="K158" i="31"/>
  <c r="R271" i="31"/>
  <c r="Q271" i="31"/>
  <c r="P271" i="31"/>
  <c r="O183" i="31"/>
  <c r="O180" i="31"/>
  <c r="O110" i="31" s="1"/>
  <c r="T110" i="31" s="1"/>
  <c r="O162" i="31"/>
  <c r="O184" i="31" s="1"/>
  <c r="N179" i="31"/>
  <c r="N161" i="31"/>
  <c r="J158" i="31"/>
  <c r="I179" i="31"/>
  <c r="I158" i="31"/>
  <c r="I161" i="31"/>
  <c r="H158" i="31"/>
  <c r="H179" i="31"/>
  <c r="H161" i="31"/>
  <c r="I225" i="31"/>
  <c r="P227" i="31"/>
  <c r="Q227" i="31"/>
  <c r="Q231" i="31" s="1"/>
  <c r="R227" i="31"/>
  <c r="R231" i="31" s="1"/>
  <c r="AC1" i="31"/>
  <c r="R325" i="27"/>
  <c r="R114" i="27" s="1"/>
  <c r="R16" i="27" s="1"/>
  <c r="S325" i="27"/>
  <c r="S114" i="27" s="1"/>
  <c r="U14" i="27"/>
  <c r="T14" i="27"/>
  <c r="N332" i="27"/>
  <c r="W435" i="27"/>
  <c r="X435" i="27" s="1"/>
  <c r="Y435" i="27" s="1"/>
  <c r="Z435" i="27" s="1"/>
  <c r="AA435" i="27" s="1"/>
  <c r="R402" i="27"/>
  <c r="R119" i="27" s="1"/>
  <c r="S402" i="27"/>
  <c r="S119" i="27" s="1"/>
  <c r="R391" i="27"/>
  <c r="R393" i="27" s="1"/>
  <c r="U397" i="27"/>
  <c r="T391" i="27"/>
  <c r="T393" i="27" s="1"/>
  <c r="S391" i="27"/>
  <c r="S393" i="27" s="1"/>
  <c r="F34" i="29"/>
  <c r="S466" i="27"/>
  <c r="S467" i="27" s="1"/>
  <c r="X466" i="27"/>
  <c r="X467" i="27" s="1"/>
  <c r="J579" i="27"/>
  <c r="J589" i="27" s="1"/>
  <c r="J622" i="27"/>
  <c r="J635" i="27" s="1"/>
  <c r="K622" i="27" s="1"/>
  <c r="K635" i="27" s="1"/>
  <c r="E227" i="27"/>
  <c r="E233" i="27" s="1"/>
  <c r="E667" i="27"/>
  <c r="J501" i="27"/>
  <c r="J511" i="27" s="1"/>
  <c r="I667" i="27"/>
  <c r="S495" i="27"/>
  <c r="T492" i="27" s="1"/>
  <c r="T495" i="27" s="1"/>
  <c r="U492" i="27" s="1"/>
  <c r="F540" i="27"/>
  <c r="F550" i="27" s="1"/>
  <c r="G540" i="27" s="1"/>
  <c r="G550" i="27" s="1"/>
  <c r="G200" i="27" s="1"/>
  <c r="H208" i="27" s="1"/>
  <c r="J93" i="27"/>
  <c r="J95" i="27" s="1"/>
  <c r="F501" i="27"/>
  <c r="F511" i="27" s="1"/>
  <c r="K657" i="27"/>
  <c r="K659" i="27" s="1"/>
  <c r="S419" i="27"/>
  <c r="S120" i="27" s="1"/>
  <c r="F527" i="27"/>
  <c r="F537" i="27" s="1"/>
  <c r="F199" i="27" s="1"/>
  <c r="J537" i="27"/>
  <c r="K527" i="27" s="1"/>
  <c r="K537" i="27" s="1"/>
  <c r="J524" i="27"/>
  <c r="K514" i="27" s="1"/>
  <c r="K524" i="27" s="1"/>
  <c r="J550" i="27"/>
  <c r="J200" i="27" s="1"/>
  <c r="J208" i="27" s="1"/>
  <c r="L93" i="27"/>
  <c r="L95" i="27" s="1"/>
  <c r="L311" i="27"/>
  <c r="J607" i="27"/>
  <c r="J619" i="27" s="1"/>
  <c r="I225" i="27"/>
  <c r="I231" i="27" s="1"/>
  <c r="T26" i="27"/>
  <c r="J563" i="27"/>
  <c r="J201" i="27" s="1"/>
  <c r="J209" i="27" s="1"/>
  <c r="G658" i="27"/>
  <c r="G659" i="27" s="1"/>
  <c r="G627" i="27"/>
  <c r="I602" i="27"/>
  <c r="F514" i="27"/>
  <c r="F524" i="27" s="1"/>
  <c r="E198" i="27"/>
  <c r="F571" i="27"/>
  <c r="F593" i="27"/>
  <c r="F597" i="27" s="1"/>
  <c r="R135" i="27"/>
  <c r="S471" i="27"/>
  <c r="U453" i="27"/>
  <c r="U92" i="27" s="1"/>
  <c r="U9" i="27" s="1"/>
  <c r="T92" i="27"/>
  <c r="T9" i="27" s="1"/>
  <c r="G506" i="27"/>
  <c r="G567" i="27"/>
  <c r="I206" i="27"/>
  <c r="I238" i="27" s="1"/>
  <c r="E213" i="27"/>
  <c r="E242" i="27" s="1"/>
  <c r="I250" i="27" s="1"/>
  <c r="I209" i="27"/>
  <c r="M311" i="27"/>
  <c r="M93" i="27"/>
  <c r="M95" i="27" s="1"/>
  <c r="U322" i="27"/>
  <c r="T325" i="27"/>
  <c r="T114" i="27" s="1"/>
  <c r="R475" i="27"/>
  <c r="U427" i="27"/>
  <c r="T419" i="27"/>
  <c r="T120" i="27" s="1"/>
  <c r="F589" i="27"/>
  <c r="R489" i="27"/>
  <c r="I311" i="27"/>
  <c r="I93" i="27"/>
  <c r="I95" i="27" s="1"/>
  <c r="F607" i="27"/>
  <c r="E225" i="27"/>
  <c r="U15" i="27"/>
  <c r="W15" i="27" s="1"/>
  <c r="J571" i="27"/>
  <c r="J593" i="27"/>
  <c r="J597" i="27" s="1"/>
  <c r="E209" i="27"/>
  <c r="I207" i="27"/>
  <c r="I233" i="27"/>
  <c r="T372" i="27"/>
  <c r="T344" i="27" s="1"/>
  <c r="U354" i="27"/>
  <c r="U366" i="27" s="1"/>
  <c r="U361" i="27"/>
  <c r="U371" i="27" s="1"/>
  <c r="W371" i="27" s="1"/>
  <c r="U358" i="27"/>
  <c r="U370" i="27" s="1"/>
  <c r="W370" i="27" s="1"/>
  <c r="U356" i="27"/>
  <c r="U368" i="27" s="1"/>
  <c r="W368" i="27" s="1"/>
  <c r="U362" i="27"/>
  <c r="U357" i="27"/>
  <c r="U369" i="27" s="1"/>
  <c r="W369" i="27" s="1"/>
  <c r="U360" i="27"/>
  <c r="W1" i="27"/>
  <c r="U355" i="27"/>
  <c r="U367" i="27" s="1"/>
  <c r="W367" i="27" s="1"/>
  <c r="E576" i="27"/>
  <c r="E592" i="27"/>
  <c r="E602" i="27" s="1"/>
  <c r="S488" i="27"/>
  <c r="E207" i="27"/>
  <c r="J651" i="27"/>
  <c r="X474" i="27"/>
  <c r="K311" i="27"/>
  <c r="K93" i="27"/>
  <c r="K95" i="27" s="1"/>
  <c r="U396" i="27"/>
  <c r="U392" i="27" s="1"/>
  <c r="T402" i="27"/>
  <c r="T119" i="27" s="1"/>
  <c r="F227" i="27"/>
  <c r="G638" i="27"/>
  <c r="G651" i="27" s="1"/>
  <c r="G227" i="27" s="1"/>
  <c r="Z319" i="27"/>
  <c r="F226" i="27"/>
  <c r="F232" i="27" s="1"/>
  <c r="G622" i="27"/>
  <c r="K506" i="27"/>
  <c r="K567" i="27"/>
  <c r="R129" i="27"/>
  <c r="R25" i="27" s="1"/>
  <c r="E208" i="27"/>
  <c r="E205" i="27"/>
  <c r="F563" i="27"/>
  <c r="T448" i="27"/>
  <c r="S451" i="27"/>
  <c r="S121" i="27" s="1"/>
  <c r="I202" i="27"/>
  <c r="I205" i="27"/>
  <c r="I208" i="27"/>
  <c r="P111" i="31" l="1"/>
  <c r="U110" i="31"/>
  <c r="S489" i="27"/>
  <c r="W485" i="27"/>
  <c r="Q135" i="31"/>
  <c r="I275" i="31"/>
  <c r="P276" i="31"/>
  <c r="I271" i="31"/>
  <c r="Q276" i="31"/>
  <c r="Q283" i="31" s="1"/>
  <c r="Q284" i="31" s="1"/>
  <c r="R276" i="31"/>
  <c r="R283" i="31" s="1"/>
  <c r="R284" i="31" s="1"/>
  <c r="P231" i="31"/>
  <c r="I231" i="31" s="1"/>
  <c r="M209" i="31"/>
  <c r="P179" i="31"/>
  <c r="P201" i="31" s="1"/>
  <c r="P183" i="31"/>
  <c r="P184" i="31"/>
  <c r="I227" i="31"/>
  <c r="H152" i="31"/>
  <c r="H201" i="31"/>
  <c r="I201" i="31"/>
  <c r="I152" i="31"/>
  <c r="K180" i="31"/>
  <c r="K162" i="31"/>
  <c r="K184" i="31" s="1"/>
  <c r="N202" i="31"/>
  <c r="N206" i="31" s="1"/>
  <c r="W92" i="27"/>
  <c r="H180" i="31"/>
  <c r="H162" i="31"/>
  <c r="H184" i="31" s="1"/>
  <c r="J180" i="31"/>
  <c r="J162" i="31"/>
  <c r="J184" i="31" s="1"/>
  <c r="O202" i="31"/>
  <c r="O206" i="31" s="1"/>
  <c r="K183" i="31"/>
  <c r="O181" i="31"/>
  <c r="J183" i="31"/>
  <c r="I183" i="31"/>
  <c r="N163" i="31"/>
  <c r="N165" i="31" s="1"/>
  <c r="N183" i="31"/>
  <c r="N185" i="31" s="1"/>
  <c r="O163" i="31"/>
  <c r="O165" i="31" s="1"/>
  <c r="K152" i="31"/>
  <c r="K201" i="31"/>
  <c r="O205" i="31"/>
  <c r="P202" i="31"/>
  <c r="P206" i="31" s="1"/>
  <c r="J152" i="31"/>
  <c r="J201" i="31"/>
  <c r="H183" i="31"/>
  <c r="I180" i="31"/>
  <c r="I110" i="31" s="1"/>
  <c r="M111" i="31" s="1"/>
  <c r="I162" i="31"/>
  <c r="I184" i="31" s="1"/>
  <c r="N152" i="31"/>
  <c r="N181" i="31"/>
  <c r="N201" i="31"/>
  <c r="O185" i="31"/>
  <c r="O104" i="31"/>
  <c r="T104" i="31" s="1"/>
  <c r="T201" i="31" s="1"/>
  <c r="T205" i="31" s="1"/>
  <c r="S16" i="27"/>
  <c r="W14" i="27"/>
  <c r="U495" i="27"/>
  <c r="W492" i="27"/>
  <c r="W495" i="27" s="1"/>
  <c r="X492" i="27" s="1"/>
  <c r="X495" i="27" s="1"/>
  <c r="Y492" i="27" s="1"/>
  <c r="Y495" i="27" s="1"/>
  <c r="Z492" i="27" s="1"/>
  <c r="Z495" i="27" s="1"/>
  <c r="AA492" i="27" s="1"/>
  <c r="AA495" i="27" s="1"/>
  <c r="W397" i="27"/>
  <c r="U391" i="27"/>
  <c r="U393" i="27" s="1"/>
  <c r="Y463" i="27"/>
  <c r="T463" i="27"/>
  <c r="T485" i="27"/>
  <c r="Y466" i="27"/>
  <c r="Z463" i="27" s="1"/>
  <c r="R87" i="27"/>
  <c r="K579" i="27"/>
  <c r="K589" i="27" s="1"/>
  <c r="L579" i="27" s="1"/>
  <c r="L589" i="27" s="1"/>
  <c r="L212" i="27" s="1"/>
  <c r="J212" i="27"/>
  <c r="J213" i="27" s="1"/>
  <c r="J242" i="27" s="1"/>
  <c r="J566" i="27"/>
  <c r="J576" i="27" s="1"/>
  <c r="F233" i="27"/>
  <c r="J226" i="27"/>
  <c r="J232" i="27" s="1"/>
  <c r="F200" i="27"/>
  <c r="G208" i="27" s="1"/>
  <c r="K540" i="27"/>
  <c r="K550" i="27" s="1"/>
  <c r="K200" i="27" s="1"/>
  <c r="E669" i="27"/>
  <c r="S22" i="27"/>
  <c r="J199" i="27"/>
  <c r="J207" i="27" s="1"/>
  <c r="G635" i="27"/>
  <c r="G226" i="27" s="1"/>
  <c r="G232" i="27" s="1"/>
  <c r="J198" i="27"/>
  <c r="J206" i="27" s="1"/>
  <c r="J238" i="27" s="1"/>
  <c r="K553" i="27"/>
  <c r="K563" i="27" s="1"/>
  <c r="K201" i="27" s="1"/>
  <c r="K209" i="27" s="1"/>
  <c r="J654" i="27"/>
  <c r="J667" i="27" s="1"/>
  <c r="G527" i="27"/>
  <c r="G537" i="27" s="1"/>
  <c r="G199" i="27" s="1"/>
  <c r="H207" i="27" s="1"/>
  <c r="I228" i="27"/>
  <c r="F566" i="27"/>
  <c r="F592" i="27" s="1"/>
  <c r="F602" i="27" s="1"/>
  <c r="U26" i="27"/>
  <c r="W26" i="27" s="1"/>
  <c r="I320" i="27"/>
  <c r="I669" i="27"/>
  <c r="K607" i="27"/>
  <c r="K619" i="27" s="1"/>
  <c r="J225" i="27"/>
  <c r="J231" i="27" s="1"/>
  <c r="G553" i="27"/>
  <c r="G563" i="27" s="1"/>
  <c r="G201" i="27" s="1"/>
  <c r="H209" i="27" s="1"/>
  <c r="F201" i="27"/>
  <c r="K571" i="27"/>
  <c r="K593" i="27"/>
  <c r="K597" i="27" s="1"/>
  <c r="I234" i="27"/>
  <c r="I193" i="27" s="1"/>
  <c r="I241" i="27" s="1"/>
  <c r="F212" i="27"/>
  <c r="G579" i="27"/>
  <c r="G589" i="27" s="1"/>
  <c r="G212" i="27" s="1"/>
  <c r="H213" i="27" s="1"/>
  <c r="H242" i="27" s="1"/>
  <c r="L622" i="27"/>
  <c r="L635" i="27" s="1"/>
  <c r="K226" i="27"/>
  <c r="Y471" i="27"/>
  <c r="X135" i="27"/>
  <c r="G501" i="27"/>
  <c r="F197" i="27"/>
  <c r="E237" i="27"/>
  <c r="G233" i="27"/>
  <c r="H233" i="27"/>
  <c r="K198" i="27"/>
  <c r="L514" i="27"/>
  <c r="L524" i="27" s="1"/>
  <c r="X475" i="27"/>
  <c r="X87" i="27" s="1"/>
  <c r="S129" i="27"/>
  <c r="T22" i="27"/>
  <c r="F207" i="27"/>
  <c r="K199" i="27"/>
  <c r="L527" i="27"/>
  <c r="L537" i="27" s="1"/>
  <c r="W453" i="27"/>
  <c r="I210" i="27"/>
  <c r="K149" i="31" s="1"/>
  <c r="K170" i="31" s="1"/>
  <c r="I237" i="27"/>
  <c r="U22" i="27"/>
  <c r="U372" i="27"/>
  <c r="U344" i="27" s="1"/>
  <c r="W344" i="27" s="1"/>
  <c r="E206" i="27"/>
  <c r="E238" i="27" s="1"/>
  <c r="I246" i="27" s="1"/>
  <c r="E202" i="27"/>
  <c r="AA319" i="27"/>
  <c r="W396" i="27"/>
  <c r="W392" i="27" s="1"/>
  <c r="U402" i="27"/>
  <c r="U119" i="27" s="1"/>
  <c r="K638" i="27"/>
  <c r="J227" i="27"/>
  <c r="W487" i="27"/>
  <c r="K501" i="27"/>
  <c r="J197" i="27"/>
  <c r="X1" i="27"/>
  <c r="W357" i="27"/>
  <c r="W354" i="27"/>
  <c r="W356" i="27"/>
  <c r="W361" i="27"/>
  <c r="W355" i="27"/>
  <c r="W362" i="27"/>
  <c r="W358" i="27"/>
  <c r="W360" i="27"/>
  <c r="W366" i="27"/>
  <c r="W372" i="27" s="1"/>
  <c r="E231" i="27"/>
  <c r="E228" i="27"/>
  <c r="T16" i="27"/>
  <c r="G514" i="27"/>
  <c r="G524" i="27" s="1"/>
  <c r="G198" i="27" s="1"/>
  <c r="H206" i="27" s="1"/>
  <c r="H238" i="27" s="1"/>
  <c r="F198" i="27"/>
  <c r="T451" i="27"/>
  <c r="T121" i="27" s="1"/>
  <c r="U448" i="27"/>
  <c r="F619" i="27"/>
  <c r="F654" i="27"/>
  <c r="F667" i="27" s="1"/>
  <c r="W427" i="27"/>
  <c r="U419" i="27"/>
  <c r="U120" i="27" s="1"/>
  <c r="W322" i="27"/>
  <c r="U325" i="27"/>
  <c r="U114" i="27" s="1"/>
  <c r="U16" i="27" s="1"/>
  <c r="G593" i="27"/>
  <c r="G597" i="27" s="1"/>
  <c r="G571" i="27"/>
  <c r="S474" i="27"/>
  <c r="Q148" i="31" l="1"/>
  <c r="R125" i="31"/>
  <c r="T179" i="31"/>
  <c r="T152" i="31" s="1"/>
  <c r="W488" i="27"/>
  <c r="I283" i="31"/>
  <c r="I276" i="31"/>
  <c r="J181" i="31"/>
  <c r="J110" i="31"/>
  <c r="N111" i="31" s="1"/>
  <c r="K181" i="31"/>
  <c r="K110" i="31"/>
  <c r="O111" i="31" s="1"/>
  <c r="H181" i="31"/>
  <c r="H110" i="31"/>
  <c r="L111" i="31" s="1"/>
  <c r="T202" i="31"/>
  <c r="T206" i="31" s="1"/>
  <c r="T184" i="31" s="1"/>
  <c r="P152" i="31"/>
  <c r="P181" i="31"/>
  <c r="P185" i="31"/>
  <c r="K185" i="31"/>
  <c r="H163" i="31"/>
  <c r="H165" i="31" s="1"/>
  <c r="O203" i="31"/>
  <c r="I163" i="31"/>
  <c r="I165" i="31" s="1"/>
  <c r="N187" i="31"/>
  <c r="J205" i="31"/>
  <c r="K205" i="31"/>
  <c r="J185" i="31"/>
  <c r="T183" i="31"/>
  <c r="P283" i="31"/>
  <c r="P284" i="31" s="1"/>
  <c r="I205" i="31"/>
  <c r="K153" i="31"/>
  <c r="H104" i="31"/>
  <c r="N205" i="31"/>
  <c r="N207" i="31" s="1"/>
  <c r="N203" i="31"/>
  <c r="I202" i="31"/>
  <c r="I206" i="31" s="1"/>
  <c r="O207" i="31"/>
  <c r="N153" i="31"/>
  <c r="K104" i="31"/>
  <c r="O105" i="31" s="1"/>
  <c r="N171" i="31"/>
  <c r="J163" i="31"/>
  <c r="J165" i="31" s="1"/>
  <c r="O187" i="31"/>
  <c r="K163" i="31"/>
  <c r="K165" i="31" s="1"/>
  <c r="H202" i="31"/>
  <c r="H206" i="31" s="1"/>
  <c r="I181" i="31"/>
  <c r="K192" i="31"/>
  <c r="K174" i="31"/>
  <c r="K175" i="31" s="1"/>
  <c r="M153" i="31"/>
  <c r="J104" i="31"/>
  <c r="N104" i="31"/>
  <c r="O153" i="31"/>
  <c r="H185" i="31"/>
  <c r="O171" i="31"/>
  <c r="I185" i="31"/>
  <c r="P203" i="31"/>
  <c r="P205" i="31"/>
  <c r="P207" i="31" s="1"/>
  <c r="J202" i="31"/>
  <c r="J206" i="31" s="1"/>
  <c r="U202" i="31"/>
  <c r="K202" i="31"/>
  <c r="K206" i="31" s="1"/>
  <c r="L153" i="31"/>
  <c r="I104" i="31"/>
  <c r="H205" i="31"/>
  <c r="X14" i="27"/>
  <c r="X397" i="27"/>
  <c r="W391" i="27"/>
  <c r="W393" i="27" s="1"/>
  <c r="Y467" i="27"/>
  <c r="F208" i="27"/>
  <c r="T466" i="27"/>
  <c r="U463" i="27" s="1"/>
  <c r="U466" i="27" s="1"/>
  <c r="U467" i="27" s="1"/>
  <c r="L540" i="27"/>
  <c r="L550" i="27" s="1"/>
  <c r="M540" i="27" s="1"/>
  <c r="M550" i="27" s="1"/>
  <c r="N540" i="27" s="1"/>
  <c r="N550" i="27" s="1"/>
  <c r="O540" i="27" s="1"/>
  <c r="O550" i="27" s="1"/>
  <c r="K212" i="27"/>
  <c r="K213" i="27" s="1"/>
  <c r="K242" i="27" s="1"/>
  <c r="Z466" i="27"/>
  <c r="AA463" i="27" s="1"/>
  <c r="M579" i="27"/>
  <c r="M589" i="27" s="1"/>
  <c r="J592" i="27"/>
  <c r="J602" i="27" s="1"/>
  <c r="J320" i="27" s="1"/>
  <c r="K232" i="27"/>
  <c r="L553" i="27"/>
  <c r="L563" i="27" s="1"/>
  <c r="M553" i="27" s="1"/>
  <c r="M563" i="27" s="1"/>
  <c r="N553" i="27" s="1"/>
  <c r="N563" i="27" s="1"/>
  <c r="O553" i="27" s="1"/>
  <c r="O563" i="27" s="1"/>
  <c r="W16" i="27"/>
  <c r="K207" i="27"/>
  <c r="H232" i="27"/>
  <c r="W22" i="27"/>
  <c r="G206" i="27"/>
  <c r="G238" i="27" s="1"/>
  <c r="F669" i="27"/>
  <c r="F576" i="27"/>
  <c r="I218" i="27"/>
  <c r="R27" i="27"/>
  <c r="E210" i="27"/>
  <c r="X26" i="27"/>
  <c r="Y26" i="27" s="1"/>
  <c r="Z26" i="27" s="1"/>
  <c r="AA26" i="27" s="1"/>
  <c r="L607" i="27"/>
  <c r="L619" i="27" s="1"/>
  <c r="M607" i="27" s="1"/>
  <c r="K225" i="27"/>
  <c r="K231" i="27" s="1"/>
  <c r="G207" i="27"/>
  <c r="X322" i="27"/>
  <c r="W325" i="27"/>
  <c r="W114" i="27" s="1"/>
  <c r="W419" i="27"/>
  <c r="W120" i="27" s="1"/>
  <c r="X427" i="27"/>
  <c r="S135" i="27"/>
  <c r="S25" i="27" s="1"/>
  <c r="S27" i="27" s="1"/>
  <c r="T471" i="27"/>
  <c r="T488" i="27"/>
  <c r="U485" i="27" s="1"/>
  <c r="I305" i="27"/>
  <c r="I303" i="27"/>
  <c r="I307" i="27"/>
  <c r="I309" i="27"/>
  <c r="L199" i="27"/>
  <c r="L207" i="27" s="1"/>
  <c r="M527" i="27"/>
  <c r="M537" i="27" s="1"/>
  <c r="N527" i="27" s="1"/>
  <c r="N537" i="27" s="1"/>
  <c r="O527" i="27" s="1"/>
  <c r="O537" i="27" s="1"/>
  <c r="F202" i="27"/>
  <c r="F205" i="27"/>
  <c r="S475" i="27"/>
  <c r="S87" i="27" s="1"/>
  <c r="U451" i="27"/>
  <c r="U121" i="27" s="1"/>
  <c r="W448" i="27"/>
  <c r="X355" i="27"/>
  <c r="X367" i="27" s="1"/>
  <c r="Y1" i="27"/>
  <c r="X356" i="27"/>
  <c r="X368" i="27" s="1"/>
  <c r="X358" i="27"/>
  <c r="X370" i="27" s="1"/>
  <c r="X361" i="27"/>
  <c r="X371" i="27" s="1"/>
  <c r="X354" i="27"/>
  <c r="X366" i="27" s="1"/>
  <c r="X357" i="27"/>
  <c r="X369" i="27" s="1"/>
  <c r="X362" i="27"/>
  <c r="X360" i="27"/>
  <c r="F225" i="27"/>
  <c r="G607" i="27"/>
  <c r="K511" i="27"/>
  <c r="K566" i="27"/>
  <c r="K651" i="27"/>
  <c r="K654" i="27"/>
  <c r="K667" i="27" s="1"/>
  <c r="X396" i="27"/>
  <c r="X392" i="27" s="1"/>
  <c r="W402" i="27"/>
  <c r="W119" i="27" s="1"/>
  <c r="K206" i="27"/>
  <c r="K238" i="27" s="1"/>
  <c r="L198" i="27"/>
  <c r="L206" i="27" s="1"/>
  <c r="L238" i="27" s="1"/>
  <c r="M514" i="27"/>
  <c r="M524" i="27" s="1"/>
  <c r="N514" i="27" s="1"/>
  <c r="N524" i="27" s="1"/>
  <c r="O514" i="27" s="1"/>
  <c r="O524" i="27" s="1"/>
  <c r="I217" i="27"/>
  <c r="I192" i="27"/>
  <c r="I240" i="27" s="1"/>
  <c r="I191" i="27"/>
  <c r="I216" i="27"/>
  <c r="E234" i="27"/>
  <c r="E216" i="27" s="1"/>
  <c r="X485" i="27"/>
  <c r="X488" i="27" s="1"/>
  <c r="W129" i="27"/>
  <c r="F206" i="27"/>
  <c r="F238" i="27" s="1"/>
  <c r="J246" i="27" s="1"/>
  <c r="I245" i="27"/>
  <c r="W9" i="27"/>
  <c r="X453" i="27"/>
  <c r="M622" i="27"/>
  <c r="M635" i="27" s="1"/>
  <c r="N622" i="27" s="1"/>
  <c r="N635" i="27" s="1"/>
  <c r="O622" i="27" s="1"/>
  <c r="O635" i="27" s="1"/>
  <c r="L226" i="27"/>
  <c r="L232" i="27" s="1"/>
  <c r="G209" i="27"/>
  <c r="F209" i="27"/>
  <c r="K208" i="27"/>
  <c r="J202" i="27"/>
  <c r="J205" i="27"/>
  <c r="J233" i="27"/>
  <c r="J228" i="27"/>
  <c r="G511" i="27"/>
  <c r="G197" i="27" s="1"/>
  <c r="G566" i="27"/>
  <c r="Y474" i="27"/>
  <c r="G213" i="27"/>
  <c r="G242" i="27" s="1"/>
  <c r="F213" i="27"/>
  <c r="F242" i="27" s="1"/>
  <c r="J250" i="27" s="1"/>
  <c r="R135" i="31" l="1"/>
  <c r="T125" i="31" s="1"/>
  <c r="Q179" i="31"/>
  <c r="Q180" i="31"/>
  <c r="Q184" i="31"/>
  <c r="Q183" i="31"/>
  <c r="T489" i="27"/>
  <c r="O226" i="27"/>
  <c r="P622" i="27"/>
  <c r="P635" i="27" s="1"/>
  <c r="O198" i="27"/>
  <c r="P514" i="27"/>
  <c r="P524" i="27" s="1"/>
  <c r="O201" i="27"/>
  <c r="P553" i="27"/>
  <c r="P563" i="27" s="1"/>
  <c r="O200" i="27"/>
  <c r="P540" i="27"/>
  <c r="P550" i="27" s="1"/>
  <c r="O199" i="27"/>
  <c r="P527" i="27"/>
  <c r="P537" i="27" s="1"/>
  <c r="G31" i="33"/>
  <c r="C30" i="33"/>
  <c r="T180" i="31"/>
  <c r="T203" i="31"/>
  <c r="H187" i="31"/>
  <c r="J187" i="31"/>
  <c r="K187" i="31"/>
  <c r="P104" i="31"/>
  <c r="P153" i="31"/>
  <c r="O209" i="31"/>
  <c r="T207" i="31"/>
  <c r="P187" i="31"/>
  <c r="N209" i="31"/>
  <c r="H207" i="31"/>
  <c r="I203" i="31"/>
  <c r="H203" i="31"/>
  <c r="I187" i="31"/>
  <c r="P209" i="31"/>
  <c r="K207" i="31"/>
  <c r="U206" i="31"/>
  <c r="U180" i="31"/>
  <c r="L105" i="31"/>
  <c r="I284" i="31"/>
  <c r="T185" i="31"/>
  <c r="E303" i="27"/>
  <c r="I304" i="27" s="1"/>
  <c r="G149" i="31"/>
  <c r="J171" i="31"/>
  <c r="N579" i="27"/>
  <c r="N589" i="27" s="1"/>
  <c r="N105" i="31"/>
  <c r="J203" i="31"/>
  <c r="M105" i="31"/>
  <c r="K196" i="31"/>
  <c r="K214" i="31"/>
  <c r="K171" i="31"/>
  <c r="K167" i="31" s="1"/>
  <c r="K189" i="31" s="1"/>
  <c r="I207" i="31"/>
  <c r="K203" i="31"/>
  <c r="J207" i="31"/>
  <c r="L200" i="27"/>
  <c r="L208" i="27" s="1"/>
  <c r="Y14" i="27"/>
  <c r="Y397" i="27"/>
  <c r="X391" i="27"/>
  <c r="X393" i="27" s="1"/>
  <c r="L213" i="27"/>
  <c r="L242" i="27" s="1"/>
  <c r="T467" i="27"/>
  <c r="W467" i="27" s="1"/>
  <c r="Z467" i="27"/>
  <c r="J669" i="27"/>
  <c r="M212" i="27"/>
  <c r="M213" i="27" s="1"/>
  <c r="M242" i="27" s="1"/>
  <c r="R242" i="27" s="1"/>
  <c r="AA466" i="27"/>
  <c r="AA467" i="27" s="1"/>
  <c r="L201" i="27"/>
  <c r="L209" i="27" s="1"/>
  <c r="K250" i="27"/>
  <c r="E309" i="27"/>
  <c r="I310" i="27" s="1"/>
  <c r="E305" i="27"/>
  <c r="I306" i="27" s="1"/>
  <c r="N201" i="27"/>
  <c r="O209" i="27" s="1"/>
  <c r="N200" i="27"/>
  <c r="O208" i="27" s="1"/>
  <c r="N226" i="27"/>
  <c r="O232" i="27" s="1"/>
  <c r="N198" i="27"/>
  <c r="O206" i="27" s="1"/>
  <c r="O238" i="27" s="1"/>
  <c r="N199" i="27"/>
  <c r="O207" i="27" s="1"/>
  <c r="E307" i="27"/>
  <c r="I308" i="27" s="1"/>
  <c r="I219" i="27"/>
  <c r="I221" i="27" s="1"/>
  <c r="L225" i="27"/>
  <c r="L231" i="27" s="1"/>
  <c r="L246" i="27"/>
  <c r="L638" i="27"/>
  <c r="K227" i="27"/>
  <c r="Z471" i="27"/>
  <c r="Y135" i="27"/>
  <c r="M201" i="27"/>
  <c r="G619" i="27"/>
  <c r="G225" i="27" s="1"/>
  <c r="G654" i="27"/>
  <c r="G667" i="27" s="1"/>
  <c r="T129" i="27"/>
  <c r="X325" i="27"/>
  <c r="X114" i="27" s="1"/>
  <c r="X16" i="27" s="1"/>
  <c r="Y322" i="27"/>
  <c r="J210" i="27"/>
  <c r="L149" i="31" s="1"/>
  <c r="L170" i="31" s="1"/>
  <c r="J237" i="27"/>
  <c r="M226" i="27"/>
  <c r="M232" i="27" s="1"/>
  <c r="Y453" i="27"/>
  <c r="X92" i="27"/>
  <c r="X9" i="27" s="1"/>
  <c r="E191" i="27"/>
  <c r="G576" i="27"/>
  <c r="G592" i="27"/>
  <c r="G602" i="27" s="1"/>
  <c r="Y15" i="27"/>
  <c r="M200" i="27"/>
  <c r="K246" i="27"/>
  <c r="M619" i="27"/>
  <c r="N607" i="27" s="1"/>
  <c r="H205" i="27"/>
  <c r="G202" i="27"/>
  <c r="E193" i="27"/>
  <c r="E241" i="27" s="1"/>
  <c r="I249" i="27" s="1"/>
  <c r="E218" i="27"/>
  <c r="E217" i="27"/>
  <c r="E192" i="27"/>
  <c r="E240" i="27" s="1"/>
  <c r="I248" i="27" s="1"/>
  <c r="X15" i="27"/>
  <c r="F210" i="27"/>
  <c r="H149" i="31" s="1"/>
  <c r="H170" i="31" s="1"/>
  <c r="F237" i="27"/>
  <c r="T474" i="27"/>
  <c r="T475" i="27" s="1"/>
  <c r="J234" i="27"/>
  <c r="Y485" i="27"/>
  <c r="Y488" i="27" s="1"/>
  <c r="X129" i="27"/>
  <c r="I239" i="27"/>
  <c r="I194" i="27"/>
  <c r="M198" i="27"/>
  <c r="K592" i="27"/>
  <c r="K602" i="27" s="1"/>
  <c r="K576" i="27"/>
  <c r="W451" i="27"/>
  <c r="W121" i="27" s="1"/>
  <c r="X448" i="27"/>
  <c r="M199" i="27"/>
  <c r="Y475" i="27"/>
  <c r="Y87" i="27" s="1"/>
  <c r="X402" i="27"/>
  <c r="X119" i="27" s="1"/>
  <c r="Y396" i="27"/>
  <c r="Y392" i="27" s="1"/>
  <c r="L501" i="27"/>
  <c r="K197" i="27"/>
  <c r="F231" i="27"/>
  <c r="F228" i="27"/>
  <c r="X372" i="27"/>
  <c r="X344" i="27" s="1"/>
  <c r="Y354" i="27"/>
  <c r="Y366" i="27" s="1"/>
  <c r="Y357" i="27"/>
  <c r="Y369" i="27" s="1"/>
  <c r="Y360" i="27"/>
  <c r="Y355" i="27"/>
  <c r="Y367" i="27" s="1"/>
  <c r="Y362" i="27"/>
  <c r="Y361" i="27"/>
  <c r="Y371" i="27" s="1"/>
  <c r="Z1" i="27"/>
  <c r="Y356" i="27"/>
  <c r="Y368" i="27" s="1"/>
  <c r="Y358" i="27"/>
  <c r="Y370" i="27" s="1"/>
  <c r="G205" i="27"/>
  <c r="Y427" i="27"/>
  <c r="X419" i="27"/>
  <c r="X120" i="27" s="1"/>
  <c r="Q201" i="31" l="1"/>
  <c r="Q152" i="31"/>
  <c r="Q181" i="31"/>
  <c r="Y125" i="31"/>
  <c r="T135" i="31"/>
  <c r="U125" i="31" s="1"/>
  <c r="Q185" i="31"/>
  <c r="Q202" i="31"/>
  <c r="Q206" i="31" s="1"/>
  <c r="Q110" i="31"/>
  <c r="R148" i="31"/>
  <c r="P199" i="27"/>
  <c r="R527" i="27"/>
  <c r="W527" i="27" s="1"/>
  <c r="W537" i="27" s="1"/>
  <c r="X527" i="27" s="1"/>
  <c r="P200" i="27"/>
  <c r="R540" i="27"/>
  <c r="P201" i="27"/>
  <c r="R553" i="27"/>
  <c r="W553" i="27" s="1"/>
  <c r="W563" i="27" s="1"/>
  <c r="X553" i="27" s="1"/>
  <c r="P198" i="27"/>
  <c r="R514" i="27"/>
  <c r="W514" i="27" s="1"/>
  <c r="W524" i="27" s="1"/>
  <c r="X514" i="27" s="1"/>
  <c r="P226" i="27"/>
  <c r="P232" i="27" s="1"/>
  <c r="R622" i="27"/>
  <c r="W622" i="27" s="1"/>
  <c r="W635" i="27" s="1"/>
  <c r="X622" i="27" s="1"/>
  <c r="U104" i="31"/>
  <c r="U201" i="31" s="1"/>
  <c r="U205" i="31" s="1"/>
  <c r="O246" i="27"/>
  <c r="T238" i="27"/>
  <c r="P207" i="27"/>
  <c r="P208" i="27"/>
  <c r="P209" i="27"/>
  <c r="P206" i="27"/>
  <c r="P238" i="27" s="1"/>
  <c r="N212" i="27"/>
  <c r="O579" i="27"/>
  <c r="O589" i="27" s="1"/>
  <c r="A31" i="33"/>
  <c r="F40" i="33"/>
  <c r="P105" i="31"/>
  <c r="T209" i="31"/>
  <c r="T181" i="31"/>
  <c r="T107" i="31" s="1"/>
  <c r="T106" i="31"/>
  <c r="H209" i="31"/>
  <c r="I209" i="31"/>
  <c r="K209" i="31"/>
  <c r="L192" i="31"/>
  <c r="L174" i="31"/>
  <c r="K193" i="31"/>
  <c r="K195" i="31" s="1"/>
  <c r="K197" i="31" s="1"/>
  <c r="K211" i="31"/>
  <c r="J209" i="31"/>
  <c r="H174" i="31"/>
  <c r="H192" i="31"/>
  <c r="K218" i="31"/>
  <c r="K121" i="31"/>
  <c r="U184" i="31"/>
  <c r="Z14" i="27"/>
  <c r="Z397" i="27"/>
  <c r="Y391" i="27"/>
  <c r="Y393" i="27" s="1"/>
  <c r="L250" i="27"/>
  <c r="N213" i="27"/>
  <c r="N242" i="27" s="1"/>
  <c r="T87" i="27"/>
  <c r="R563" i="27"/>
  <c r="S553" i="27" s="1"/>
  <c r="S563" i="27" s="1"/>
  <c r="R524" i="27"/>
  <c r="R198" i="27" s="1"/>
  <c r="R206" i="27" s="1"/>
  <c r="R537" i="27"/>
  <c r="S527" i="27" s="1"/>
  <c r="S537" i="27" s="1"/>
  <c r="R635" i="27"/>
  <c r="R226" i="27" s="1"/>
  <c r="R232" i="27" s="1"/>
  <c r="R550" i="27"/>
  <c r="R200" i="27" s="1"/>
  <c r="R208" i="27" s="1"/>
  <c r="W540" i="27"/>
  <c r="W550" i="27" s="1"/>
  <c r="X540" i="27" s="1"/>
  <c r="M207" i="27"/>
  <c r="N207" i="27"/>
  <c r="M206" i="27"/>
  <c r="M238" i="27" s="1"/>
  <c r="R238" i="27" s="1"/>
  <c r="N206" i="27"/>
  <c r="N238" i="27" s="1"/>
  <c r="S238" i="27" s="1"/>
  <c r="N232" i="27"/>
  <c r="N619" i="27"/>
  <c r="O607" i="27" s="1"/>
  <c r="M208" i="27"/>
  <c r="N208" i="27"/>
  <c r="M250" i="27"/>
  <c r="M209" i="27"/>
  <c r="N209" i="27"/>
  <c r="U488" i="27"/>
  <c r="E219" i="27"/>
  <c r="E221" i="27" s="1"/>
  <c r="I222" i="27" s="1"/>
  <c r="Z358" i="27"/>
  <c r="Z370" i="27" s="1"/>
  <c r="Z362" i="27"/>
  <c r="Z356" i="27"/>
  <c r="Z368" i="27" s="1"/>
  <c r="Z357" i="27"/>
  <c r="Z369" i="27" s="1"/>
  <c r="Z355" i="27"/>
  <c r="Z367" i="27" s="1"/>
  <c r="Z361" i="27"/>
  <c r="Z371" i="27" s="1"/>
  <c r="AA1" i="27"/>
  <c r="Z354" i="27"/>
  <c r="Z366" i="27" s="1"/>
  <c r="Z360" i="27"/>
  <c r="K202" i="27"/>
  <c r="K205" i="27"/>
  <c r="K669" i="27"/>
  <c r="K320" i="27"/>
  <c r="J192" i="27"/>
  <c r="J240" i="27" s="1"/>
  <c r="J216" i="27"/>
  <c r="J217" i="27"/>
  <c r="J191" i="27"/>
  <c r="M225" i="27"/>
  <c r="G669" i="27"/>
  <c r="G320" i="27"/>
  <c r="Y325" i="27"/>
  <c r="Y114" i="27" s="1"/>
  <c r="Z322" i="27"/>
  <c r="Z474" i="27"/>
  <c r="Z475" i="27" s="1"/>
  <c r="Z87" i="27" s="1"/>
  <c r="L651" i="27"/>
  <c r="L654" i="27"/>
  <c r="L667" i="27" s="1"/>
  <c r="G210" i="27"/>
  <c r="I149" i="31" s="1"/>
  <c r="I170" i="31" s="1"/>
  <c r="G237" i="27"/>
  <c r="L511" i="27"/>
  <c r="L566" i="27"/>
  <c r="Y448" i="27"/>
  <c r="X451" i="27"/>
  <c r="X121" i="27" s="1"/>
  <c r="J218" i="27"/>
  <c r="J245" i="27"/>
  <c r="Y22" i="27"/>
  <c r="X22" i="27"/>
  <c r="Z427" i="27"/>
  <c r="Y419" i="27"/>
  <c r="Y120" i="27" s="1"/>
  <c r="Y372" i="27"/>
  <c r="Y344" i="27" s="1"/>
  <c r="X25" i="27"/>
  <c r="X27" i="27" s="1"/>
  <c r="J193" i="27"/>
  <c r="J241" i="27" s="1"/>
  <c r="J309" i="27"/>
  <c r="J305" i="27"/>
  <c r="J303" i="27"/>
  <c r="J307" i="27"/>
  <c r="F234" i="27"/>
  <c r="F191" i="27" s="1"/>
  <c r="Z485" i="27"/>
  <c r="Z488" i="27" s="1"/>
  <c r="Y129" i="27"/>
  <c r="U471" i="27"/>
  <c r="T135" i="27"/>
  <c r="T25" i="27" s="1"/>
  <c r="F305" i="27"/>
  <c r="F309" i="27"/>
  <c r="F303" i="27"/>
  <c r="F307" i="27"/>
  <c r="H231" i="27"/>
  <c r="G228" i="27"/>
  <c r="G231" i="27"/>
  <c r="K233" i="27"/>
  <c r="K228" i="27"/>
  <c r="H210" i="27"/>
  <c r="J149" i="31" s="1"/>
  <c r="J170" i="31" s="1"/>
  <c r="J167" i="31" s="1"/>
  <c r="H237" i="27"/>
  <c r="E239" i="27"/>
  <c r="I247" i="27" s="1"/>
  <c r="E194" i="27"/>
  <c r="Z396" i="27"/>
  <c r="Z392" i="27" s="1"/>
  <c r="Y402" i="27"/>
  <c r="Y119" i="27" s="1"/>
  <c r="Y92" i="27"/>
  <c r="Y9" i="27" s="1"/>
  <c r="Z453" i="27"/>
  <c r="U179" i="31" l="1"/>
  <c r="U152" i="31" s="1"/>
  <c r="R179" i="31"/>
  <c r="R180" i="31"/>
  <c r="R183" i="31"/>
  <c r="R184" i="31"/>
  <c r="T148" i="31"/>
  <c r="Y135" i="31"/>
  <c r="Z125" i="31" s="1"/>
  <c r="Y148" i="31"/>
  <c r="Q104" i="31"/>
  <c r="Q153" i="31"/>
  <c r="V110" i="31"/>
  <c r="V202" i="31" s="1"/>
  <c r="Q111" i="31"/>
  <c r="U135" i="31"/>
  <c r="V125" i="31" s="1"/>
  <c r="U148" i="31"/>
  <c r="U158" i="31" s="1"/>
  <c r="Q187" i="31"/>
  <c r="Q203" i="31"/>
  <c r="Q205" i="31"/>
  <c r="Q207" i="31" s="1"/>
  <c r="U203" i="31"/>
  <c r="N250" i="27"/>
  <c r="S242" i="27"/>
  <c r="O212" i="27"/>
  <c r="P579" i="27"/>
  <c r="P589" i="27" s="1"/>
  <c r="R579" i="27" s="1"/>
  <c r="U238" i="27"/>
  <c r="P246" i="27"/>
  <c r="U129" i="27"/>
  <c r="U489" i="27"/>
  <c r="O619" i="27"/>
  <c r="C31" i="33"/>
  <c r="T187" i="31"/>
  <c r="I167" i="31"/>
  <c r="J189" i="31"/>
  <c r="H167" i="31"/>
  <c r="I192" i="31"/>
  <c r="I174" i="31"/>
  <c r="U106" i="31"/>
  <c r="H196" i="31"/>
  <c r="H214" i="31"/>
  <c r="U207" i="31"/>
  <c r="U183" i="31"/>
  <c r="L196" i="31"/>
  <c r="L214" i="31"/>
  <c r="J192" i="31"/>
  <c r="J174" i="31"/>
  <c r="J175" i="31" s="1"/>
  <c r="W579" i="27"/>
  <c r="W589" i="27" s="1"/>
  <c r="R589" i="27"/>
  <c r="K215" i="31"/>
  <c r="K217" i="31" s="1"/>
  <c r="K219" i="31" s="1"/>
  <c r="K118" i="31"/>
  <c r="AA14" i="27"/>
  <c r="R199" i="27"/>
  <c r="R207" i="27" s="1"/>
  <c r="AA397" i="27"/>
  <c r="AA391" i="27" s="1"/>
  <c r="Z391" i="27"/>
  <c r="Z393" i="27" s="1"/>
  <c r="R201" i="27"/>
  <c r="R209" i="27" s="1"/>
  <c r="S514" i="27"/>
  <c r="S524" i="27" s="1"/>
  <c r="S198" i="27" s="1"/>
  <c r="S206" i="27" s="1"/>
  <c r="S190" i="27" s="1"/>
  <c r="S178" i="27" s="1"/>
  <c r="S622" i="27"/>
  <c r="S635" i="27" s="1"/>
  <c r="T622" i="27" s="1"/>
  <c r="T635" i="27" s="1"/>
  <c r="S540" i="27"/>
  <c r="S550" i="27" s="1"/>
  <c r="T540" i="27" s="1"/>
  <c r="T550" i="27" s="1"/>
  <c r="M246" i="27"/>
  <c r="N225" i="27"/>
  <c r="N246" i="27"/>
  <c r="T27" i="27"/>
  <c r="AA15" i="27"/>
  <c r="F216" i="27"/>
  <c r="J219" i="27"/>
  <c r="J221" i="27" s="1"/>
  <c r="G234" i="27"/>
  <c r="G191" i="27" s="1"/>
  <c r="Z325" i="27"/>
  <c r="Z114" i="27" s="1"/>
  <c r="Z16" i="27" s="1"/>
  <c r="AA322" i="27"/>
  <c r="AA325" i="27" s="1"/>
  <c r="AA114" i="27" s="1"/>
  <c r="AA396" i="27"/>
  <c r="Z402" i="27"/>
  <c r="Z119" i="27" s="1"/>
  <c r="T553" i="27"/>
  <c r="T563" i="27" s="1"/>
  <c r="S201" i="27"/>
  <c r="AA485" i="27"/>
  <c r="AA488" i="27" s="1"/>
  <c r="AA129" i="27" s="1"/>
  <c r="Z129" i="27"/>
  <c r="J310" i="27"/>
  <c r="L592" i="27"/>
  <c r="L602" i="27" s="1"/>
  <c r="L576" i="27"/>
  <c r="T527" i="27"/>
  <c r="T537" i="27" s="1"/>
  <c r="S199" i="27"/>
  <c r="H234" i="27"/>
  <c r="H191" i="27" s="1"/>
  <c r="F239" i="27"/>
  <c r="R190" i="27"/>
  <c r="M501" i="27"/>
  <c r="L197" i="27"/>
  <c r="M231" i="27"/>
  <c r="AA453" i="27"/>
  <c r="AA92" i="27" s="1"/>
  <c r="AA9" i="27" s="1"/>
  <c r="Z92" i="27"/>
  <c r="Z9" i="27" s="1"/>
  <c r="Y16" i="27"/>
  <c r="H307" i="27"/>
  <c r="H305" i="27"/>
  <c r="H309" i="27"/>
  <c r="H303" i="27"/>
  <c r="K234" i="27"/>
  <c r="K218" i="27" s="1"/>
  <c r="F192" i="27"/>
  <c r="F240" i="27" s="1"/>
  <c r="J248" i="27" s="1"/>
  <c r="F218" i="27"/>
  <c r="F217" i="27"/>
  <c r="F193" i="27"/>
  <c r="F241" i="27" s="1"/>
  <c r="J249" i="27" s="1"/>
  <c r="J304" i="27"/>
  <c r="Z15" i="27"/>
  <c r="Z22" i="27"/>
  <c r="Z135" i="27"/>
  <c r="AA471" i="27"/>
  <c r="AA357" i="27"/>
  <c r="AA369" i="27" s="1"/>
  <c r="AA361" i="27"/>
  <c r="AA371" i="27" s="1"/>
  <c r="AA355" i="27"/>
  <c r="AA367" i="27" s="1"/>
  <c r="AA358" i="27"/>
  <c r="AA370" i="27" s="1"/>
  <c r="AA362" i="27"/>
  <c r="AA356" i="27"/>
  <c r="AA368" i="27" s="1"/>
  <c r="AA354" i="27"/>
  <c r="AA366" i="27" s="1"/>
  <c r="AA360" i="27"/>
  <c r="Y25" i="27"/>
  <c r="Y27" i="27" s="1"/>
  <c r="J306" i="27"/>
  <c r="G307" i="27"/>
  <c r="G303" i="27"/>
  <c r="G309" i="27"/>
  <c r="G305" i="27"/>
  <c r="Z419" i="27"/>
  <c r="Z120" i="27" s="1"/>
  <c r="AA427" i="27"/>
  <c r="AA419" i="27" s="1"/>
  <c r="AA120" i="27" s="1"/>
  <c r="Z448" i="27"/>
  <c r="Y451" i="27"/>
  <c r="Y121" i="27" s="1"/>
  <c r="U474" i="27"/>
  <c r="U135" i="27" s="1"/>
  <c r="U25" i="27" s="1"/>
  <c r="U27" i="27" s="1"/>
  <c r="J308" i="27"/>
  <c r="M638" i="27"/>
  <c r="L227" i="27"/>
  <c r="J239" i="27"/>
  <c r="J194" i="27"/>
  <c r="K210" i="27"/>
  <c r="M149" i="31" s="1"/>
  <c r="M170" i="31" s="1"/>
  <c r="K237" i="27"/>
  <c r="Z372" i="27"/>
  <c r="Z344" i="27" s="1"/>
  <c r="U181" i="31" l="1"/>
  <c r="U107" i="31" s="1"/>
  <c r="Q209" i="31"/>
  <c r="R185" i="31"/>
  <c r="U162" i="31"/>
  <c r="U209" i="31"/>
  <c r="U157" i="31"/>
  <c r="U159" i="31" s="1"/>
  <c r="V135" i="31"/>
  <c r="W125" i="31" s="1"/>
  <c r="W135" i="31" s="1"/>
  <c r="W148" i="31" s="1"/>
  <c r="V206" i="31"/>
  <c r="V180" i="31"/>
  <c r="V104" i="31"/>
  <c r="V201" i="31" s="1"/>
  <c r="Q105" i="31"/>
  <c r="Z135" i="31"/>
  <c r="AA125" i="31" s="1"/>
  <c r="R110" i="31"/>
  <c r="R202" i="31"/>
  <c r="R206" i="31" s="1"/>
  <c r="T157" i="31"/>
  <c r="T162" i="31"/>
  <c r="T161" i="31"/>
  <c r="T158" i="31"/>
  <c r="R152" i="31"/>
  <c r="R201" i="31"/>
  <c r="R181" i="31"/>
  <c r="R187" i="31" s="1"/>
  <c r="X579" i="27"/>
  <c r="W212" i="27"/>
  <c r="W213" i="27" s="1"/>
  <c r="O225" i="27"/>
  <c r="P607" i="27"/>
  <c r="P212" i="27"/>
  <c r="O213" i="27"/>
  <c r="O242" i="27" s="1"/>
  <c r="P213" i="27"/>
  <c r="P242" i="27" s="1"/>
  <c r="O231" i="27"/>
  <c r="W238" i="27"/>
  <c r="U185" i="31"/>
  <c r="U187" i="31" s="1"/>
  <c r="U161" i="31"/>
  <c r="M192" i="31"/>
  <c r="M174" i="31"/>
  <c r="S579" i="27"/>
  <c r="S589" i="27" s="1"/>
  <c r="R212" i="27"/>
  <c r="L121" i="31"/>
  <c r="L218" i="31"/>
  <c r="I214" i="31"/>
  <c r="I196" i="31"/>
  <c r="I189" i="31"/>
  <c r="I171" i="31"/>
  <c r="I173" i="31" s="1"/>
  <c r="H189" i="31"/>
  <c r="H171" i="31"/>
  <c r="H173" i="31" s="1"/>
  <c r="J214" i="31"/>
  <c r="J196" i="31"/>
  <c r="H121" i="31"/>
  <c r="H218" i="31"/>
  <c r="J211" i="31"/>
  <c r="J193" i="31"/>
  <c r="J195" i="31" s="1"/>
  <c r="S200" i="27"/>
  <c r="S208" i="27" s="1"/>
  <c r="S207" i="27"/>
  <c r="AA402" i="27"/>
  <c r="AA119" i="27" s="1"/>
  <c r="AA392" i="27"/>
  <c r="AA393" i="27" s="1"/>
  <c r="S209" i="27"/>
  <c r="T514" i="27"/>
  <c r="T524" i="27" s="1"/>
  <c r="T198" i="27" s="1"/>
  <c r="T206" i="27" s="1"/>
  <c r="T190" i="27" s="1"/>
  <c r="T178" i="27" s="1"/>
  <c r="S226" i="27"/>
  <c r="S232" i="27" s="1"/>
  <c r="W489" i="27"/>
  <c r="W25" i="27"/>
  <c r="W27" i="27" s="1"/>
  <c r="N231" i="27"/>
  <c r="G216" i="27"/>
  <c r="U475" i="27"/>
  <c r="U87" i="27" s="1"/>
  <c r="W87" i="27" s="1"/>
  <c r="F219" i="27"/>
  <c r="F221" i="27" s="1"/>
  <c r="J222" i="27" s="1"/>
  <c r="H216" i="27"/>
  <c r="H239" i="27"/>
  <c r="K309" i="27"/>
  <c r="K303" i="27"/>
  <c r="K305" i="27"/>
  <c r="K307" i="27"/>
  <c r="T200" i="27"/>
  <c r="U540" i="27"/>
  <c r="U550" i="27" s="1"/>
  <c r="AA372" i="27"/>
  <c r="AA344" i="27" s="1"/>
  <c r="R178" i="27"/>
  <c r="F194" i="27"/>
  <c r="T199" i="27"/>
  <c r="T207" i="27" s="1"/>
  <c r="U527" i="27"/>
  <c r="U537" i="27" s="1"/>
  <c r="L233" i="27"/>
  <c r="L228" i="27"/>
  <c r="X589" i="27"/>
  <c r="AA474" i="27"/>
  <c r="AA135" i="27" s="1"/>
  <c r="AA25" i="27" s="1"/>
  <c r="AA27" i="27" s="1"/>
  <c r="J247" i="27"/>
  <c r="M651" i="27"/>
  <c r="N638" i="27" s="1"/>
  <c r="M654" i="27"/>
  <c r="M667" i="27" s="1"/>
  <c r="AA448" i="27"/>
  <c r="AA451" i="27" s="1"/>
  <c r="AA121" i="27" s="1"/>
  <c r="Z451" i="27"/>
  <c r="Z121" i="27" s="1"/>
  <c r="AA22" i="27"/>
  <c r="M511" i="27"/>
  <c r="N501" i="27" s="1"/>
  <c r="M566" i="27"/>
  <c r="L320" i="27"/>
  <c r="R320" i="27" s="1"/>
  <c r="L669" i="27"/>
  <c r="Z25" i="27"/>
  <c r="Z27" i="27" s="1"/>
  <c r="G192" i="27"/>
  <c r="G240" i="27" s="1"/>
  <c r="G217" i="27"/>
  <c r="G218" i="27"/>
  <c r="G193" i="27"/>
  <c r="G241" i="27" s="1"/>
  <c r="K245" i="27"/>
  <c r="K217" i="27"/>
  <c r="K216" i="27"/>
  <c r="K192" i="27"/>
  <c r="K240" i="27" s="1"/>
  <c r="K191" i="27"/>
  <c r="T201" i="27"/>
  <c r="U553" i="27"/>
  <c r="U563" i="27" s="1"/>
  <c r="T226" i="27"/>
  <c r="U622" i="27"/>
  <c r="U635" i="27" s="1"/>
  <c r="K193" i="27"/>
  <c r="K241" i="27" s="1"/>
  <c r="AA16" i="27"/>
  <c r="L202" i="27"/>
  <c r="L205" i="27"/>
  <c r="H192" i="27"/>
  <c r="H240" i="27" s="1"/>
  <c r="H218" i="27"/>
  <c r="H217" i="27"/>
  <c r="H193" i="27"/>
  <c r="H241" i="27" s="1"/>
  <c r="G239" i="27"/>
  <c r="T163" i="31" l="1"/>
  <c r="T159" i="31"/>
  <c r="T165" i="31" s="1"/>
  <c r="Z148" i="31"/>
  <c r="R104" i="31"/>
  <c r="R153" i="31"/>
  <c r="T153" i="31"/>
  <c r="U153" i="31"/>
  <c r="W110" i="31"/>
  <c r="W202" i="31" s="1"/>
  <c r="R111" i="31"/>
  <c r="AA135" i="31"/>
  <c r="AB125" i="31" s="1"/>
  <c r="V205" i="31"/>
  <c r="V203" i="31"/>
  <c r="V179" i="31"/>
  <c r="V148" i="31"/>
  <c r="V158" i="31" s="1"/>
  <c r="R205" i="31"/>
  <c r="R207" i="31" s="1"/>
  <c r="R203" i="31"/>
  <c r="V184" i="31"/>
  <c r="U242" i="27"/>
  <c r="P250" i="27"/>
  <c r="P619" i="27"/>
  <c r="O250" i="27"/>
  <c r="T242" i="27"/>
  <c r="W242" i="27" s="1"/>
  <c r="X242" i="27" s="1"/>
  <c r="Y242" i="27" s="1"/>
  <c r="Z242" i="27" s="1"/>
  <c r="AA242" i="27" s="1"/>
  <c r="H175" i="31"/>
  <c r="I175" i="31"/>
  <c r="J197" i="31"/>
  <c r="H193" i="31"/>
  <c r="H195" i="31" s="1"/>
  <c r="H197" i="31" s="1"/>
  <c r="H211" i="31"/>
  <c r="I211" i="31"/>
  <c r="I193" i="31"/>
  <c r="I195" i="31" s="1"/>
  <c r="I197" i="31" s="1"/>
  <c r="T579" i="27"/>
  <c r="T589" i="27" s="1"/>
  <c r="S212" i="27"/>
  <c r="S213" i="27" s="1"/>
  <c r="S184" i="27" s="1"/>
  <c r="S156" i="27" s="1"/>
  <c r="J118" i="31"/>
  <c r="J215" i="31"/>
  <c r="J217" i="31" s="1"/>
  <c r="J121" i="31"/>
  <c r="J218" i="31"/>
  <c r="I218" i="31"/>
  <c r="I121" i="31"/>
  <c r="M214" i="31"/>
  <c r="M196" i="31"/>
  <c r="R213" i="27"/>
  <c r="R184" i="27" s="1"/>
  <c r="R156" i="27" s="1"/>
  <c r="U163" i="31"/>
  <c r="U165" i="31" s="1"/>
  <c r="T208" i="27"/>
  <c r="U514" i="27"/>
  <c r="U524" i="27" s="1"/>
  <c r="U198" i="27" s="1"/>
  <c r="T232" i="27"/>
  <c r="W475" i="27"/>
  <c r="N651" i="27"/>
  <c r="O638" i="27" s="1"/>
  <c r="N654" i="27"/>
  <c r="N667" i="27" s="1"/>
  <c r="N566" i="27"/>
  <c r="N511" i="27"/>
  <c r="O501" i="27" s="1"/>
  <c r="G194" i="27"/>
  <c r="G219" i="27"/>
  <c r="G221" i="27" s="1"/>
  <c r="H194" i="27"/>
  <c r="H219" i="27"/>
  <c r="H221" i="27" s="1"/>
  <c r="K219" i="27"/>
  <c r="K221" i="27" s="1"/>
  <c r="R221" i="27" s="1"/>
  <c r="R217" i="27" s="1"/>
  <c r="X524" i="27"/>
  <c r="S320" i="27"/>
  <c r="M197" i="27"/>
  <c r="L234" i="27"/>
  <c r="L193" i="27" s="1"/>
  <c r="L241" i="27" s="1"/>
  <c r="K310" i="27"/>
  <c r="M227" i="27"/>
  <c r="AA475" i="27"/>
  <c r="AA87" i="27" s="1"/>
  <c r="K194" i="27"/>
  <c r="K239" i="27"/>
  <c r="L210" i="27"/>
  <c r="N149" i="31" s="1"/>
  <c r="N170" i="31" s="1"/>
  <c r="L237" i="27"/>
  <c r="K249" i="27"/>
  <c r="K248" i="27"/>
  <c r="M576" i="27"/>
  <c r="M592" i="27"/>
  <c r="M602" i="27" s="1"/>
  <c r="X550" i="27"/>
  <c r="U200" i="27"/>
  <c r="K304" i="27"/>
  <c r="U226" i="27"/>
  <c r="X563" i="27"/>
  <c r="U201" i="27"/>
  <c r="K308" i="27"/>
  <c r="T209" i="27"/>
  <c r="X212" i="27"/>
  <c r="X213" i="27" s="1"/>
  <c r="Y579" i="27"/>
  <c r="Y589" i="27" s="1"/>
  <c r="U199" i="27"/>
  <c r="X537" i="27"/>
  <c r="K306" i="27"/>
  <c r="AA148" i="31" l="1"/>
  <c r="V162" i="31"/>
  <c r="R209" i="31"/>
  <c r="R16" i="31"/>
  <c r="J16" i="31" s="1"/>
  <c r="V152" i="31"/>
  <c r="V106" i="31"/>
  <c r="V181" i="31"/>
  <c r="V107" i="31" s="1"/>
  <c r="V157" i="31"/>
  <c r="V207" i="31"/>
  <c r="V209" i="31" s="1"/>
  <c r="V183" i="31"/>
  <c r="AB135" i="31"/>
  <c r="AC125" i="31" s="1"/>
  <c r="AC135" i="31" s="1"/>
  <c r="AC148" i="31" s="1"/>
  <c r="W180" i="31"/>
  <c r="W206" i="31"/>
  <c r="Y202" i="31"/>
  <c r="W104" i="31"/>
  <c r="W201" i="31" s="1"/>
  <c r="R105" i="31"/>
  <c r="R15" i="31"/>
  <c r="U207" i="27"/>
  <c r="W199" i="27"/>
  <c r="W207" i="27" s="1"/>
  <c r="U206" i="27"/>
  <c r="U190" i="27" s="1"/>
  <c r="U178" i="27" s="1"/>
  <c r="W198" i="27"/>
  <c r="W206" i="27" s="1"/>
  <c r="U209" i="27"/>
  <c r="W201" i="27"/>
  <c r="W209" i="27" s="1"/>
  <c r="U208" i="27"/>
  <c r="W200" i="27"/>
  <c r="W208" i="27" s="1"/>
  <c r="P225" i="27"/>
  <c r="R607" i="27"/>
  <c r="P231" i="27"/>
  <c r="O566" i="27"/>
  <c r="O511" i="27"/>
  <c r="O651" i="27"/>
  <c r="O654" i="27"/>
  <c r="O667" i="27" s="1"/>
  <c r="W178" i="27"/>
  <c r="M218" i="31"/>
  <c r="M121" i="31"/>
  <c r="I215" i="31"/>
  <c r="I217" i="31" s="1"/>
  <c r="I219" i="31" s="1"/>
  <c r="I118" i="31"/>
  <c r="H118" i="31"/>
  <c r="H215" i="31"/>
  <c r="H217" i="31" s="1"/>
  <c r="H219" i="31" s="1"/>
  <c r="N192" i="31"/>
  <c r="N174" i="31"/>
  <c r="N175" i="31" s="1"/>
  <c r="N167" i="31"/>
  <c r="N189" i="31" s="1"/>
  <c r="J219" i="31"/>
  <c r="T212" i="27"/>
  <c r="T213" i="27" s="1"/>
  <c r="T184" i="27" s="1"/>
  <c r="T156" i="27" s="1"/>
  <c r="U579" i="27"/>
  <c r="U589" i="27" s="1"/>
  <c r="U212" i="27" s="1"/>
  <c r="U232" i="27"/>
  <c r="W226" i="27"/>
  <c r="W232" i="27"/>
  <c r="N592" i="27"/>
  <c r="N602" i="27" s="1"/>
  <c r="N576" i="27"/>
  <c r="N227" i="27"/>
  <c r="N197" i="27"/>
  <c r="N202" i="27" s="1"/>
  <c r="L218" i="27"/>
  <c r="K222" i="27"/>
  <c r="L249" i="27"/>
  <c r="X201" i="27"/>
  <c r="Y553" i="27"/>
  <c r="Y563" i="27" s="1"/>
  <c r="M669" i="27"/>
  <c r="M320" i="27"/>
  <c r="W190" i="27"/>
  <c r="M202" i="27"/>
  <c r="M205" i="27"/>
  <c r="L245" i="27"/>
  <c r="T320" i="27"/>
  <c r="Z579" i="27"/>
  <c r="Z589" i="27" s="1"/>
  <c r="Y212" i="27"/>
  <c r="X635" i="27"/>
  <c r="X226" i="27" s="1"/>
  <c r="Y622" i="27"/>
  <c r="L307" i="27"/>
  <c r="L309" i="27"/>
  <c r="L305" i="27"/>
  <c r="L303" i="27"/>
  <c r="K247" i="27"/>
  <c r="M233" i="27"/>
  <c r="M228" i="27"/>
  <c r="X200" i="27"/>
  <c r="Y540" i="27"/>
  <c r="Y550" i="27" s="1"/>
  <c r="Y514" i="27"/>
  <c r="Y524" i="27" s="1"/>
  <c r="X198" i="27"/>
  <c r="X199" i="27"/>
  <c r="Y527" i="27"/>
  <c r="Y537" i="27" s="1"/>
  <c r="L217" i="27"/>
  <c r="L192" i="27"/>
  <c r="L240" i="27" s="1"/>
  <c r="L191" i="27"/>
  <c r="L216" i="27"/>
  <c r="AB148" i="31" l="1"/>
  <c r="W179" i="31"/>
  <c r="W203" i="31"/>
  <c r="W205" i="31"/>
  <c r="Y201" i="31"/>
  <c r="W184" i="31"/>
  <c r="Y206" i="31"/>
  <c r="Y115" i="31" s="1"/>
  <c r="V159" i="31"/>
  <c r="R32" i="31"/>
  <c r="Y110" i="31"/>
  <c r="Z110" i="31" s="1"/>
  <c r="W158" i="31"/>
  <c r="Y158" i="31" s="1"/>
  <c r="Y180" i="31"/>
  <c r="V185" i="31"/>
  <c r="V187" i="31" s="1"/>
  <c r="V161" i="31"/>
  <c r="V153" i="31"/>
  <c r="W607" i="27"/>
  <c r="W619" i="27" s="1"/>
  <c r="X607" i="27" s="1"/>
  <c r="R619" i="27"/>
  <c r="O197" i="27"/>
  <c r="P501" i="27"/>
  <c r="O227" i="27"/>
  <c r="O228" i="27" s="1"/>
  <c r="P638" i="27"/>
  <c r="O202" i="27"/>
  <c r="O592" i="27"/>
  <c r="O602" i="27" s="1"/>
  <c r="Q140" i="31" s="1"/>
  <c r="Q142" i="31" s="1"/>
  <c r="O576" i="27"/>
  <c r="G33" i="33"/>
  <c r="U213" i="27"/>
  <c r="U184" i="27" s="1"/>
  <c r="X184" i="27"/>
  <c r="X156" i="27" s="1"/>
  <c r="N211" i="31"/>
  <c r="N193" i="31"/>
  <c r="N195" i="31" s="1"/>
  <c r="N214" i="31"/>
  <c r="N196" i="31"/>
  <c r="N669" i="27"/>
  <c r="P140" i="31"/>
  <c r="P142" i="31" s="1"/>
  <c r="X232" i="27"/>
  <c r="N205" i="27"/>
  <c r="N210" i="27" s="1"/>
  <c r="P149" i="31" s="1"/>
  <c r="P170" i="31" s="1"/>
  <c r="N320" i="27"/>
  <c r="N233" i="27"/>
  <c r="N228" i="27"/>
  <c r="L219" i="27"/>
  <c r="L221" i="27" s="1"/>
  <c r="L239" i="27"/>
  <c r="L194" i="27"/>
  <c r="Y199" i="27"/>
  <c r="Y207" i="27" s="1"/>
  <c r="Z527" i="27"/>
  <c r="Z537" i="27" s="1"/>
  <c r="Y200" i="27"/>
  <c r="Y208" i="27" s="1"/>
  <c r="Z540" i="27"/>
  <c r="Z550" i="27" s="1"/>
  <c r="L304" i="27"/>
  <c r="X209" i="27"/>
  <c r="L248" i="27"/>
  <c r="X207" i="27"/>
  <c r="X208" i="27"/>
  <c r="L306" i="27"/>
  <c r="M210" i="27"/>
  <c r="O149" i="31" s="1"/>
  <c r="M237" i="27"/>
  <c r="R237" i="27" s="1"/>
  <c r="Y213" i="27"/>
  <c r="Y184" i="27" s="1"/>
  <c r="Y156" i="27" s="1"/>
  <c r="X206" i="27"/>
  <c r="M234" i="27"/>
  <c r="M193" i="27" s="1"/>
  <c r="M241" i="27" s="1"/>
  <c r="R241" i="27" s="1"/>
  <c r="L310" i="27"/>
  <c r="AA579" i="27"/>
  <c r="AA589" i="27" s="1"/>
  <c r="AA212" i="27" s="1"/>
  <c r="Z212" i="27"/>
  <c r="Z213" i="27" s="1"/>
  <c r="Z184" i="27" s="1"/>
  <c r="Z156" i="27" s="1"/>
  <c r="Y198" i="27"/>
  <c r="Y206" i="27" s="1"/>
  <c r="Z514" i="27"/>
  <c r="Z524" i="27" s="1"/>
  <c r="L308" i="27"/>
  <c r="Y635" i="27"/>
  <c r="Y226" i="27" s="1"/>
  <c r="Y232" i="27" s="1"/>
  <c r="Z622" i="27"/>
  <c r="U320" i="27"/>
  <c r="Z553" i="27"/>
  <c r="Z563" i="27" s="1"/>
  <c r="Y201" i="27"/>
  <c r="V163" i="31" l="1"/>
  <c r="V165" i="31" s="1"/>
  <c r="AA110" i="31"/>
  <c r="Z202" i="31"/>
  <c r="Z115" i="31"/>
  <c r="AA115" i="31" s="1"/>
  <c r="AB115" i="31" s="1"/>
  <c r="AC115" i="31" s="1"/>
  <c r="R50" i="31"/>
  <c r="D50" i="31" s="1"/>
  <c r="J50" i="31" s="1"/>
  <c r="R31" i="31"/>
  <c r="Y203" i="31"/>
  <c r="W162" i="31"/>
  <c r="Y162" i="31" s="1"/>
  <c r="Y184" i="31"/>
  <c r="W183" i="31"/>
  <c r="W207" i="31"/>
  <c r="W209" i="31" s="1"/>
  <c r="Y205" i="31"/>
  <c r="W152" i="31"/>
  <c r="W106" i="31"/>
  <c r="W157" i="31"/>
  <c r="W181" i="31"/>
  <c r="Y179" i="31"/>
  <c r="R225" i="27"/>
  <c r="R231" i="27" s="1"/>
  <c r="R216" i="27" s="1"/>
  <c r="S607" i="27"/>
  <c r="S619" i="27" s="1"/>
  <c r="R193" i="27"/>
  <c r="O205" i="27"/>
  <c r="P651" i="27"/>
  <c r="P654" i="27"/>
  <c r="P667" i="27" s="1"/>
  <c r="P566" i="27"/>
  <c r="P511" i="27"/>
  <c r="O233" i="27"/>
  <c r="O320" i="27"/>
  <c r="O669" i="27"/>
  <c r="O237" i="27"/>
  <c r="O210" i="27"/>
  <c r="Q149" i="31" s="1"/>
  <c r="Q170" i="31" s="1"/>
  <c r="G34" i="33"/>
  <c r="C33" i="33"/>
  <c r="W184" i="27"/>
  <c r="U156" i="27"/>
  <c r="O170" i="31"/>
  <c r="P144" i="31"/>
  <c r="N121" i="31"/>
  <c r="N218" i="31"/>
  <c r="N197" i="31"/>
  <c r="N118" i="31"/>
  <c r="N215" i="31"/>
  <c r="N217" i="31" s="1"/>
  <c r="P174" i="31"/>
  <c r="P175" i="31" s="1"/>
  <c r="P192" i="31"/>
  <c r="P167" i="31"/>
  <c r="P189" i="31" s="1"/>
  <c r="N237" i="27"/>
  <c r="L222" i="27"/>
  <c r="S221" i="27"/>
  <c r="S217" i="27" s="1"/>
  <c r="P350" i="27"/>
  <c r="N307" i="27"/>
  <c r="S307" i="27" s="1"/>
  <c r="N303" i="27"/>
  <c r="S303" i="27" s="1"/>
  <c r="N309" i="27"/>
  <c r="S309" i="27" s="1"/>
  <c r="N305" i="27"/>
  <c r="S305" i="27" s="1"/>
  <c r="M245" i="27"/>
  <c r="N234" i="27"/>
  <c r="M218" i="27"/>
  <c r="AA213" i="27"/>
  <c r="AA184" i="27" s="1"/>
  <c r="AA156" i="27" s="1"/>
  <c r="M192" i="27"/>
  <c r="M240" i="27" s="1"/>
  <c r="R240" i="27" s="1"/>
  <c r="M217" i="27"/>
  <c r="M191" i="27"/>
  <c r="M216" i="27"/>
  <c r="AA553" i="27"/>
  <c r="AA563" i="27" s="1"/>
  <c r="AA201" i="27" s="1"/>
  <c r="Z201" i="27"/>
  <c r="Z209" i="27" s="1"/>
  <c r="M249" i="27"/>
  <c r="AA540" i="27"/>
  <c r="AA550" i="27" s="1"/>
  <c r="AA200" i="27" s="1"/>
  <c r="Z200" i="27"/>
  <c r="Z208" i="27" s="1"/>
  <c r="AA527" i="27"/>
  <c r="AA537" i="27" s="1"/>
  <c r="AA199" i="27" s="1"/>
  <c r="Z199" i="27"/>
  <c r="Z635" i="27"/>
  <c r="Z226" i="27" s="1"/>
  <c r="Z232" i="27" s="1"/>
  <c r="AA622" i="27"/>
  <c r="AA635" i="27" s="1"/>
  <c r="AA226" i="27" s="1"/>
  <c r="W320" i="27"/>
  <c r="AA514" i="27"/>
  <c r="AA524" i="27" s="1"/>
  <c r="AA198" i="27" s="1"/>
  <c r="Z198" i="27"/>
  <c r="M307" i="27"/>
  <c r="R307" i="27" s="1"/>
  <c r="M305" i="27"/>
  <c r="R305" i="27" s="1"/>
  <c r="M309" i="27"/>
  <c r="R309" i="27" s="1"/>
  <c r="M303" i="27"/>
  <c r="R303" i="27" s="1"/>
  <c r="Y209" i="27"/>
  <c r="L247" i="27"/>
  <c r="Y181" i="31" l="1"/>
  <c r="W159" i="31"/>
  <c r="Y157" i="31"/>
  <c r="Y159" i="31" s="1"/>
  <c r="W153" i="31"/>
  <c r="Y152" i="31"/>
  <c r="Y153" i="31"/>
  <c r="Y104" i="31" s="1"/>
  <c r="Y106" i="31" s="1"/>
  <c r="Z180" i="31"/>
  <c r="Z158" i="31" s="1"/>
  <c r="Z206" i="31"/>
  <c r="Z184" i="31" s="1"/>
  <c r="Z162" i="31" s="1"/>
  <c r="W107" i="31"/>
  <c r="Y114" i="31"/>
  <c r="Z114" i="31" s="1"/>
  <c r="AA114" i="31" s="1"/>
  <c r="AB114" i="31" s="1"/>
  <c r="AC114" i="31" s="1"/>
  <c r="Y207" i="31"/>
  <c r="Y209" i="31" s="1"/>
  <c r="W185" i="31"/>
  <c r="W187" i="31" s="1"/>
  <c r="W161" i="31"/>
  <c r="Y183" i="31"/>
  <c r="Y185" i="31" s="1"/>
  <c r="R33" i="31"/>
  <c r="R36" i="31"/>
  <c r="AA202" i="31"/>
  <c r="AB110" i="31"/>
  <c r="P197" i="27"/>
  <c r="P202" i="27" s="1"/>
  <c r="R501" i="27"/>
  <c r="S225" i="27"/>
  <c r="S231" i="27" s="1"/>
  <c r="T607" i="27"/>
  <c r="T619" i="27" s="1"/>
  <c r="P227" i="27"/>
  <c r="R638" i="27"/>
  <c r="R192" i="27"/>
  <c r="R180" i="27" s="1"/>
  <c r="N245" i="27"/>
  <c r="S237" i="27"/>
  <c r="Q192" i="31"/>
  <c r="Q174" i="31"/>
  <c r="Q175" i="31" s="1"/>
  <c r="Q167" i="31"/>
  <c r="Q189" i="31" s="1"/>
  <c r="O234" i="27"/>
  <c r="O218" i="27"/>
  <c r="O193" i="27"/>
  <c r="O241" i="27" s="1"/>
  <c r="P592" i="27"/>
  <c r="P602" i="27" s="1"/>
  <c r="P576" i="27"/>
  <c r="R566" i="27" s="1"/>
  <c r="P233" i="27"/>
  <c r="P228" i="27"/>
  <c r="Q144" i="31"/>
  <c r="O245" i="27"/>
  <c r="T237" i="27"/>
  <c r="P205" i="27"/>
  <c r="O309" i="27"/>
  <c r="O305" i="27"/>
  <c r="O307" i="27"/>
  <c r="O303" i="27"/>
  <c r="A34" i="33"/>
  <c r="G40" i="33"/>
  <c r="W156" i="27"/>
  <c r="N219" i="31"/>
  <c r="P196" i="31"/>
  <c r="P214" i="31"/>
  <c r="O192" i="31"/>
  <c r="O174" i="31"/>
  <c r="O175" i="31" s="1"/>
  <c r="O167" i="31"/>
  <c r="P193" i="31"/>
  <c r="P195" i="31" s="1"/>
  <c r="P211" i="31"/>
  <c r="N119" i="31"/>
  <c r="U350" i="27"/>
  <c r="T350" i="27"/>
  <c r="S350" i="27"/>
  <c r="R350" i="27"/>
  <c r="N192" i="27"/>
  <c r="N240" i="27" s="1"/>
  <c r="N217" i="27"/>
  <c r="N216" i="27"/>
  <c r="N191" i="27"/>
  <c r="N310" i="27"/>
  <c r="M306" i="27"/>
  <c r="N193" i="27"/>
  <c r="N241" i="27" s="1"/>
  <c r="N304" i="27"/>
  <c r="M310" i="27"/>
  <c r="N218" i="27"/>
  <c r="N308" i="27"/>
  <c r="M304" i="27"/>
  <c r="M308" i="27"/>
  <c r="S216" i="27"/>
  <c r="N306" i="27"/>
  <c r="AA207" i="27"/>
  <c r="M219" i="27"/>
  <c r="M221" i="27" s="1"/>
  <c r="AA206" i="27"/>
  <c r="Z207" i="27"/>
  <c r="AA232" i="27"/>
  <c r="Z206" i="27"/>
  <c r="X320" i="27"/>
  <c r="M194" i="27"/>
  <c r="M239" i="27"/>
  <c r="R239" i="27" s="1"/>
  <c r="AA208" i="27"/>
  <c r="AA209" i="27"/>
  <c r="M248" i="27"/>
  <c r="AB202" i="31" l="1"/>
  <c r="AC110" i="31"/>
  <c r="AC202" i="31" s="1"/>
  <c r="R46" i="31"/>
  <c r="R47" i="31"/>
  <c r="AA180" i="31"/>
  <c r="AA158" i="31" s="1"/>
  <c r="AA206" i="31"/>
  <c r="AA184" i="31" s="1"/>
  <c r="AA162" i="31" s="1"/>
  <c r="W163" i="31"/>
  <c r="W165" i="31" s="1"/>
  <c r="Y161" i="31"/>
  <c r="Y163" i="31" s="1"/>
  <c r="Y165" i="31" s="1"/>
  <c r="D35" i="31"/>
  <c r="R37" i="31"/>
  <c r="Z104" i="31"/>
  <c r="Y105" i="31"/>
  <c r="Y108" i="31"/>
  <c r="Z108" i="31" s="1"/>
  <c r="AA108" i="31" s="1"/>
  <c r="AB108" i="31" s="1"/>
  <c r="AC108" i="31" s="1"/>
  <c r="Y107" i="31"/>
  <c r="Y187" i="31"/>
  <c r="R654" i="27"/>
  <c r="R667" i="27" s="1"/>
  <c r="W638" i="27"/>
  <c r="R651" i="27"/>
  <c r="U607" i="27"/>
  <c r="U619" i="27" s="1"/>
  <c r="T225" i="27"/>
  <c r="T231" i="27" s="1"/>
  <c r="R511" i="27"/>
  <c r="W501" i="27"/>
  <c r="W511" i="27" s="1"/>
  <c r="X501" i="27" s="1"/>
  <c r="X511" i="27" s="1"/>
  <c r="R576" i="27"/>
  <c r="S566" i="27" s="1"/>
  <c r="W566" i="27"/>
  <c r="R592" i="27"/>
  <c r="R602" i="27" s="1"/>
  <c r="S240" i="27"/>
  <c r="O308" i="27"/>
  <c r="T307" i="27"/>
  <c r="O310" i="27"/>
  <c r="T309" i="27"/>
  <c r="P234" i="27"/>
  <c r="P320" i="27"/>
  <c r="P669" i="27"/>
  <c r="R140" i="31"/>
  <c r="R142" i="31" s="1"/>
  <c r="Q211" i="31"/>
  <c r="Q193" i="31"/>
  <c r="Q195" i="31" s="1"/>
  <c r="Q196" i="31"/>
  <c r="Q214" i="31"/>
  <c r="R191" i="27"/>
  <c r="R179" i="27" s="1"/>
  <c r="S241" i="27"/>
  <c r="O304" i="27"/>
  <c r="T303" i="27"/>
  <c r="O306" i="27"/>
  <c r="T305" i="27"/>
  <c r="P210" i="27"/>
  <c r="P237" i="27"/>
  <c r="O249" i="27"/>
  <c r="T241" i="27"/>
  <c r="T193" i="27" s="1"/>
  <c r="O217" i="27"/>
  <c r="O216" i="27"/>
  <c r="O192" i="27"/>
  <c r="O240" i="27" s="1"/>
  <c r="O191" i="27"/>
  <c r="C34" i="33"/>
  <c r="C40" i="33"/>
  <c r="P118" i="31"/>
  <c r="U118" i="31" s="1"/>
  <c r="U211" i="31" s="1"/>
  <c r="U189" i="31" s="1"/>
  <c r="P215" i="31"/>
  <c r="P217" i="31" s="1"/>
  <c r="P197" i="31"/>
  <c r="O196" i="31"/>
  <c r="O214" i="31"/>
  <c r="O189" i="31"/>
  <c r="M167" i="31"/>
  <c r="L167" i="31"/>
  <c r="P121" i="31"/>
  <c r="P218" i="31"/>
  <c r="N249" i="27"/>
  <c r="N248" i="27"/>
  <c r="M222" i="27"/>
  <c r="T221" i="27"/>
  <c r="T216" i="27" s="1"/>
  <c r="N239" i="27"/>
  <c r="N194" i="27"/>
  <c r="N219" i="27"/>
  <c r="N221" i="27" s="1"/>
  <c r="Y320" i="27"/>
  <c r="U225" i="27"/>
  <c r="M247" i="27"/>
  <c r="Y501" i="27"/>
  <c r="Y511" i="27" s="1"/>
  <c r="X197" i="27"/>
  <c r="R51" i="31" l="1"/>
  <c r="R52" i="31"/>
  <c r="J52" i="31" s="1"/>
  <c r="R38" i="31"/>
  <c r="J42" i="31" s="1"/>
  <c r="AC206" i="31"/>
  <c r="AC184" i="31" s="1"/>
  <c r="AC162" i="31" s="1"/>
  <c r="AC180" i="31"/>
  <c r="AC158" i="31" s="1"/>
  <c r="Z152" i="31"/>
  <c r="Z153" i="31" s="1"/>
  <c r="Z201" i="31"/>
  <c r="AA104" i="31"/>
  <c r="J28" i="31"/>
  <c r="J48" i="31"/>
  <c r="J53" i="31"/>
  <c r="J65" i="31"/>
  <c r="R63" i="31"/>
  <c r="J63" i="31" s="1"/>
  <c r="D46" i="31"/>
  <c r="J46" i="31" s="1"/>
  <c r="J35" i="31"/>
  <c r="J47" i="31"/>
  <c r="R66" i="31"/>
  <c r="R55" i="31"/>
  <c r="D55" i="31" s="1"/>
  <c r="AB180" i="31"/>
  <c r="AB158" i="31" s="1"/>
  <c r="AB206" i="31"/>
  <c r="AB184" i="31" s="1"/>
  <c r="AB162" i="31" s="1"/>
  <c r="R111" i="27"/>
  <c r="R669" i="27"/>
  <c r="S592" i="27"/>
  <c r="S602" i="27" s="1"/>
  <c r="S111" i="27" s="1"/>
  <c r="S576" i="27"/>
  <c r="T566" i="27" s="1"/>
  <c r="R227" i="27"/>
  <c r="S638" i="27"/>
  <c r="W592" i="27"/>
  <c r="W602" i="27" s="1"/>
  <c r="W576" i="27"/>
  <c r="X566" i="27" s="1"/>
  <c r="S501" i="27"/>
  <c r="S511" i="27" s="1"/>
  <c r="R197" i="27"/>
  <c r="W651" i="27"/>
  <c r="X638" i="27" s="1"/>
  <c r="W654" i="27"/>
  <c r="W667" i="27" s="1"/>
  <c r="U121" i="31"/>
  <c r="U214" i="31" s="1"/>
  <c r="O248" i="27"/>
  <c r="T240" i="27"/>
  <c r="T192" i="27" s="1"/>
  <c r="U237" i="27"/>
  <c r="W237" i="27" s="1"/>
  <c r="X237" i="27" s="1"/>
  <c r="Y237" i="27" s="1"/>
  <c r="Z237" i="27" s="1"/>
  <c r="AA237" i="27" s="1"/>
  <c r="P245" i="27"/>
  <c r="S193" i="27"/>
  <c r="Q215" i="31"/>
  <c r="Q217" i="31" s="1"/>
  <c r="Q118" i="31"/>
  <c r="V118" i="31" s="1"/>
  <c r="P217" i="27"/>
  <c r="P192" i="27"/>
  <c r="P216" i="27"/>
  <c r="P191" i="27"/>
  <c r="P239" i="27" s="1"/>
  <c r="P218" i="27"/>
  <c r="S239" i="27"/>
  <c r="O239" i="27"/>
  <c r="O194" i="27"/>
  <c r="O219" i="27"/>
  <c r="O221" i="27" s="1"/>
  <c r="O222" i="27" s="1"/>
  <c r="P303" i="27"/>
  <c r="P307" i="27"/>
  <c r="R149" i="31"/>
  <c r="R170" i="31" s="1"/>
  <c r="P305" i="27"/>
  <c r="P309" i="27"/>
  <c r="Q121" i="31"/>
  <c r="V121" i="31" s="1"/>
  <c r="Q218" i="31"/>
  <c r="Q197" i="31"/>
  <c r="R144" i="31"/>
  <c r="R9" i="31" s="1"/>
  <c r="P193" i="27"/>
  <c r="P241" i="27" s="1"/>
  <c r="S192" i="27"/>
  <c r="S180" i="27" s="1"/>
  <c r="O193" i="31"/>
  <c r="O195" i="31" s="1"/>
  <c r="O197" i="31" s="1"/>
  <c r="O211" i="31"/>
  <c r="U167" i="31"/>
  <c r="P219" i="31"/>
  <c r="L189" i="31"/>
  <c r="L171" i="31"/>
  <c r="L173" i="31" s="1"/>
  <c r="O121" i="31"/>
  <c r="T121" i="31" s="1"/>
  <c r="T214" i="31" s="1"/>
  <c r="O218" i="31"/>
  <c r="M189" i="31"/>
  <c r="M171" i="31"/>
  <c r="M173" i="31" s="1"/>
  <c r="W225" i="27"/>
  <c r="W231" i="27"/>
  <c r="U221" i="27"/>
  <c r="U217" i="27" s="1"/>
  <c r="N222" i="27"/>
  <c r="N247" i="27"/>
  <c r="T217" i="27"/>
  <c r="Z501" i="27"/>
  <c r="Z511" i="27" s="1"/>
  <c r="Y197" i="27"/>
  <c r="X202" i="27"/>
  <c r="X619" i="27"/>
  <c r="Z320" i="27"/>
  <c r="U231" i="27"/>
  <c r="R56" i="31" l="1"/>
  <c r="D56" i="31" s="1"/>
  <c r="J56" i="31" s="1"/>
  <c r="J66" i="31"/>
  <c r="AB104" i="31"/>
  <c r="AA152" i="31"/>
  <c r="AA153" i="31" s="1"/>
  <c r="AA201" i="31"/>
  <c r="J55" i="31"/>
  <c r="Z203" i="31"/>
  <c r="Z106" i="31" s="1"/>
  <c r="Z205" i="31"/>
  <c r="Z179" i="31"/>
  <c r="J51" i="31"/>
  <c r="R67" i="31"/>
  <c r="J67" i="31" s="1"/>
  <c r="R205" i="27"/>
  <c r="R202" i="27"/>
  <c r="X592" i="27"/>
  <c r="X602" i="27" s="1"/>
  <c r="X111" i="27" s="1"/>
  <c r="X576" i="27"/>
  <c r="Y566" i="27" s="1"/>
  <c r="S651" i="27"/>
  <c r="S654" i="27"/>
  <c r="S667" i="27" s="1"/>
  <c r="S669" i="27" s="1"/>
  <c r="T576" i="27"/>
  <c r="U566" i="27" s="1"/>
  <c r="T592" i="27"/>
  <c r="T602" i="27" s="1"/>
  <c r="T111" i="27" s="1"/>
  <c r="S197" i="27"/>
  <c r="S202" i="27" s="1"/>
  <c r="T501" i="27"/>
  <c r="T511" i="27" s="1"/>
  <c r="W111" i="27"/>
  <c r="X13" i="27" s="1"/>
  <c r="W669" i="27"/>
  <c r="R233" i="27"/>
  <c r="R228" i="27"/>
  <c r="T13" i="27"/>
  <c r="R13" i="27"/>
  <c r="S13" i="27"/>
  <c r="T218" i="31"/>
  <c r="T192" i="31"/>
  <c r="R21" i="31"/>
  <c r="R23" i="31"/>
  <c r="U218" i="31"/>
  <c r="U192" i="31"/>
  <c r="U215" i="31"/>
  <c r="U217" i="31" s="1"/>
  <c r="U219" i="31" s="1"/>
  <c r="Q219" i="31"/>
  <c r="T180" i="27"/>
  <c r="T377" i="27"/>
  <c r="T383" i="27" s="1"/>
  <c r="U241" i="27"/>
  <c r="P249" i="27"/>
  <c r="R377" i="27"/>
  <c r="R383" i="27" s="1"/>
  <c r="S377" i="27"/>
  <c r="S383" i="27" s="1"/>
  <c r="P306" i="27"/>
  <c r="U305" i="27"/>
  <c r="P308" i="27"/>
  <c r="U307" i="27"/>
  <c r="O247" i="27"/>
  <c r="S375" i="27"/>
  <c r="S381" i="27" s="1"/>
  <c r="T239" i="27"/>
  <c r="T191" i="27" s="1"/>
  <c r="T179" i="27" s="1"/>
  <c r="R375" i="27"/>
  <c r="R381" i="27" s="1"/>
  <c r="P219" i="27"/>
  <c r="P221" i="27" s="1"/>
  <c r="P222" i="27" s="1"/>
  <c r="P310" i="27"/>
  <c r="U309" i="27"/>
  <c r="R192" i="31"/>
  <c r="R174" i="31"/>
  <c r="R175" i="31" s="1"/>
  <c r="R167" i="31"/>
  <c r="R189" i="31" s="1"/>
  <c r="P304" i="27"/>
  <c r="U303" i="27"/>
  <c r="S191" i="27"/>
  <c r="U239" i="27"/>
  <c r="U191" i="27" s="1"/>
  <c r="P247" i="27"/>
  <c r="P194" i="27"/>
  <c r="P240" i="27"/>
  <c r="R11" i="31"/>
  <c r="D15" i="31"/>
  <c r="J15" i="31" s="1"/>
  <c r="M175" i="31"/>
  <c r="L175" i="31"/>
  <c r="M211" i="31"/>
  <c r="M193" i="31"/>
  <c r="M195" i="31" s="1"/>
  <c r="M197" i="31" s="1"/>
  <c r="V214" i="31"/>
  <c r="O118" i="31"/>
  <c r="T118" i="31" s="1"/>
  <c r="O215" i="31"/>
  <c r="O217" i="31" s="1"/>
  <c r="O219" i="31" s="1"/>
  <c r="L193" i="31"/>
  <c r="L195" i="31" s="1"/>
  <c r="L197" i="31" s="1"/>
  <c r="L211" i="31"/>
  <c r="W221" i="27"/>
  <c r="W217" i="27"/>
  <c r="AA320" i="27"/>
  <c r="Y202" i="27"/>
  <c r="W350" i="27"/>
  <c r="Y607" i="27"/>
  <c r="X225" i="27"/>
  <c r="X231" i="27" s="1"/>
  <c r="Y205" i="27"/>
  <c r="U216" i="27"/>
  <c r="AA501" i="27"/>
  <c r="AA511" i="27" s="1"/>
  <c r="AA197" i="27" s="1"/>
  <c r="AA202" i="27" s="1"/>
  <c r="Z197" i="27"/>
  <c r="Z205" i="27" s="1"/>
  <c r="Z183" i="31" l="1"/>
  <c r="Z207" i="31"/>
  <c r="Z209" i="31" s="1"/>
  <c r="R70" i="31"/>
  <c r="Z181" i="31"/>
  <c r="Z107" i="31" s="1"/>
  <c r="Z157" i="31"/>
  <c r="Z159" i="31" s="1"/>
  <c r="AA179" i="31"/>
  <c r="AA205" i="31"/>
  <c r="AA203" i="31"/>
  <c r="AA106" i="31" s="1"/>
  <c r="AB201" i="31"/>
  <c r="AB152" i="31"/>
  <c r="AB153" i="31" s="1"/>
  <c r="AC104" i="31"/>
  <c r="T375" i="27"/>
  <c r="T381" i="27" s="1"/>
  <c r="R218" i="27"/>
  <c r="R234" i="27"/>
  <c r="U592" i="27"/>
  <c r="U602" i="27" s="1"/>
  <c r="U111" i="27" s="1"/>
  <c r="U13" i="27" s="1"/>
  <c r="U576" i="27"/>
  <c r="S227" i="27"/>
  <c r="T638" i="27"/>
  <c r="S205" i="27"/>
  <c r="W13" i="27"/>
  <c r="T197" i="27"/>
  <c r="U501" i="27"/>
  <c r="U511" i="27" s="1"/>
  <c r="U197" i="27" s="1"/>
  <c r="Y592" i="27"/>
  <c r="Y602" i="27" s="1"/>
  <c r="Y111" i="27" s="1"/>
  <c r="Y13" i="27" s="1"/>
  <c r="Y576" i="27"/>
  <c r="Z566" i="27" s="1"/>
  <c r="R210" i="27"/>
  <c r="R189" i="27"/>
  <c r="U193" i="31"/>
  <c r="U195" i="31" s="1"/>
  <c r="U170" i="31"/>
  <c r="U196" i="31"/>
  <c r="T196" i="31"/>
  <c r="T170" i="31"/>
  <c r="T174" i="31" s="1"/>
  <c r="T376" i="27"/>
  <c r="T382" i="27" s="1"/>
  <c r="U240" i="27"/>
  <c r="P248" i="27"/>
  <c r="S376" i="27"/>
  <c r="S382" i="27" s="1"/>
  <c r="S384" i="27" s="1"/>
  <c r="S345" i="27" s="1"/>
  <c r="R376" i="27"/>
  <c r="R382" i="27" s="1"/>
  <c r="T384" i="27"/>
  <c r="T345" i="27" s="1"/>
  <c r="S179" i="27"/>
  <c r="W309" i="27"/>
  <c r="X309" i="27" s="1"/>
  <c r="Y309" i="27" s="1"/>
  <c r="Z309" i="27" s="1"/>
  <c r="AA309" i="27" s="1"/>
  <c r="U377" i="27"/>
  <c r="U383" i="27" s="1"/>
  <c r="W383" i="27" s="1"/>
  <c r="U193" i="27"/>
  <c r="W193" i="27" s="1"/>
  <c r="W241" i="27"/>
  <c r="W191" i="27"/>
  <c r="W239" i="27"/>
  <c r="X239" i="27" s="1"/>
  <c r="U375" i="27"/>
  <c r="U381" i="27" s="1"/>
  <c r="W381" i="27" s="1"/>
  <c r="W303" i="27"/>
  <c r="X303" i="27" s="1"/>
  <c r="Y303" i="27" s="1"/>
  <c r="Z303" i="27" s="1"/>
  <c r="AA303" i="27" s="1"/>
  <c r="R193" i="31"/>
  <c r="R195" i="31" s="1"/>
  <c r="R211" i="31"/>
  <c r="R196" i="31"/>
  <c r="R214" i="31"/>
  <c r="R384" i="27"/>
  <c r="R345" i="27" s="1"/>
  <c r="W307" i="27"/>
  <c r="X307" i="27" s="1"/>
  <c r="Y307" i="27" s="1"/>
  <c r="Z307" i="27" s="1"/>
  <c r="AA307" i="27" s="1"/>
  <c r="W305" i="27"/>
  <c r="X305" i="27" s="1"/>
  <c r="Y305" i="27" s="1"/>
  <c r="Z305" i="27" s="1"/>
  <c r="AA305" i="27" s="1"/>
  <c r="R238" i="31"/>
  <c r="R244" i="31" s="1"/>
  <c r="R247" i="31" s="1"/>
  <c r="Q238" i="31"/>
  <c r="Q244" i="31" s="1"/>
  <c r="Q246" i="31" s="1"/>
  <c r="M215" i="31"/>
  <c r="M217" i="31" s="1"/>
  <c r="M219" i="31" s="1"/>
  <c r="M118" i="31"/>
  <c r="Q119" i="31" s="1"/>
  <c r="I237" i="31"/>
  <c r="P238" i="31"/>
  <c r="L118" i="31"/>
  <c r="L215" i="31"/>
  <c r="L217" i="31" s="1"/>
  <c r="L219" i="31" s="1"/>
  <c r="V218" i="31"/>
  <c r="V192" i="31"/>
  <c r="V211" i="31"/>
  <c r="O119" i="31"/>
  <c r="W375" i="27"/>
  <c r="X221" i="27"/>
  <c r="W222" i="27"/>
  <c r="X191" i="27"/>
  <c r="Y239" i="27"/>
  <c r="X375" i="27"/>
  <c r="X381" i="27" s="1"/>
  <c r="Z210" i="27"/>
  <c r="AB149" i="31" s="1"/>
  <c r="Z189" i="27"/>
  <c r="Y210" i="27"/>
  <c r="AA149" i="31" s="1"/>
  <c r="Y189" i="27"/>
  <c r="Z202" i="27"/>
  <c r="AA205" i="27"/>
  <c r="U179" i="27"/>
  <c r="W216" i="27"/>
  <c r="X350" i="27"/>
  <c r="Y619" i="27"/>
  <c r="R251" i="31" l="1"/>
  <c r="R255" i="31" s="1"/>
  <c r="R259" i="31" s="1"/>
  <c r="E259" i="31" s="1"/>
  <c r="Q250" i="31"/>
  <c r="Q254" i="31" s="1"/>
  <c r="Q258" i="31" s="1"/>
  <c r="D258" i="31" s="1"/>
  <c r="AA181" i="31"/>
  <c r="AA157" i="31"/>
  <c r="AA159" i="31" s="1"/>
  <c r="AA107" i="31"/>
  <c r="AC201" i="31"/>
  <c r="AC152" i="31"/>
  <c r="AC153" i="31" s="1"/>
  <c r="AB203" i="31"/>
  <c r="AB106" i="31" s="1"/>
  <c r="AB179" i="31"/>
  <c r="AB205" i="31"/>
  <c r="AA183" i="31"/>
  <c r="AA207" i="31"/>
  <c r="AA209" i="31" s="1"/>
  <c r="J84" i="31"/>
  <c r="R90" i="31"/>
  <c r="R94" i="31"/>
  <c r="R91" i="31"/>
  <c r="R73" i="31"/>
  <c r="J70" i="31"/>
  <c r="R92" i="31"/>
  <c r="R88" i="31"/>
  <c r="R89" i="31"/>
  <c r="R93" i="31"/>
  <c r="Z161" i="31"/>
  <c r="Z163" i="31" s="1"/>
  <c r="Z165" i="31" s="1"/>
  <c r="Z185" i="31"/>
  <c r="Z187" i="31" s="1"/>
  <c r="R73" i="27"/>
  <c r="R78" i="27" s="1"/>
  <c r="R194" i="27"/>
  <c r="R72" i="27"/>
  <c r="R177" i="27"/>
  <c r="Z576" i="27"/>
  <c r="AA566" i="27" s="1"/>
  <c r="Z592" i="27"/>
  <c r="Z602" i="27" s="1"/>
  <c r="Z111" i="27" s="1"/>
  <c r="U202" i="27"/>
  <c r="W197" i="27"/>
  <c r="X205" i="27"/>
  <c r="T651" i="27"/>
  <c r="T654" i="27"/>
  <c r="T667" i="27" s="1"/>
  <c r="T669" i="27" s="1"/>
  <c r="T149" i="31"/>
  <c r="R81" i="27"/>
  <c r="R80" i="27"/>
  <c r="R82" i="27"/>
  <c r="R79" i="27"/>
  <c r="R343" i="27"/>
  <c r="T205" i="27"/>
  <c r="T202" i="27"/>
  <c r="U205" i="27"/>
  <c r="S210" i="27"/>
  <c r="S189" i="27"/>
  <c r="S233" i="27"/>
  <c r="S228" i="27"/>
  <c r="R181" i="27"/>
  <c r="R154" i="27" s="1"/>
  <c r="R219" i="27"/>
  <c r="R74" i="27" s="1"/>
  <c r="U171" i="31"/>
  <c r="U173" i="31" s="1"/>
  <c r="U174" i="31"/>
  <c r="U197" i="31"/>
  <c r="R121" i="31"/>
  <c r="W121" i="31" s="1"/>
  <c r="R218" i="31"/>
  <c r="R215" i="31"/>
  <c r="R217" i="31" s="1"/>
  <c r="R118" i="31"/>
  <c r="U192" i="27"/>
  <c r="U376" i="27"/>
  <c r="U382" i="27" s="1"/>
  <c r="W382" i="27" s="1"/>
  <c r="W384" i="27" s="1"/>
  <c r="W240" i="27"/>
  <c r="R197" i="31"/>
  <c r="X241" i="27"/>
  <c r="W377" i="27"/>
  <c r="I223" i="31"/>
  <c r="R246" i="31"/>
  <c r="R248" i="31"/>
  <c r="Q247" i="31"/>
  <c r="Q248" i="31"/>
  <c r="L119" i="31"/>
  <c r="P119" i="31"/>
  <c r="M119" i="31"/>
  <c r="T211" i="31"/>
  <c r="V215" i="31"/>
  <c r="V217" i="31" s="1"/>
  <c r="V219" i="31" s="1"/>
  <c r="V189" i="31"/>
  <c r="I238" i="31"/>
  <c r="P244" i="31"/>
  <c r="V196" i="31"/>
  <c r="V170" i="31"/>
  <c r="Y221" i="27"/>
  <c r="X217" i="27"/>
  <c r="Y191" i="27"/>
  <c r="Z239" i="27"/>
  <c r="Y375" i="27"/>
  <c r="Y381" i="27" s="1"/>
  <c r="Y225" i="27"/>
  <c r="Z607" i="27"/>
  <c r="Y350" i="27"/>
  <c r="AA210" i="27"/>
  <c r="AC149" i="31" s="1"/>
  <c r="AA189" i="27"/>
  <c r="Y82" i="27"/>
  <c r="Y8" i="27" s="1"/>
  <c r="Y81" i="27"/>
  <c r="Y80" i="27"/>
  <c r="Y79" i="27"/>
  <c r="X216" i="27"/>
  <c r="Z177" i="27"/>
  <c r="Z155" i="27" s="1"/>
  <c r="W179" i="27"/>
  <c r="Y177" i="27"/>
  <c r="Y155" i="27" s="1"/>
  <c r="Z80" i="27"/>
  <c r="Z81" i="27"/>
  <c r="Z82" i="27"/>
  <c r="Z8" i="27" s="1"/>
  <c r="Z79" i="27"/>
  <c r="Z13" i="27"/>
  <c r="Y638" i="27"/>
  <c r="X651" i="27"/>
  <c r="X227" i="27" s="1"/>
  <c r="X654" i="27"/>
  <c r="X667" i="27" s="1"/>
  <c r="X669" i="27" s="1"/>
  <c r="Q252" i="31" l="1"/>
  <c r="Q256" i="31" s="1"/>
  <c r="Q260" i="31" s="1"/>
  <c r="D261" i="31" s="1"/>
  <c r="R252" i="31"/>
  <c r="R256" i="31" s="1"/>
  <c r="R260" i="31" s="1"/>
  <c r="E261" i="31" s="1"/>
  <c r="Q251" i="31"/>
  <c r="Q255" i="31" s="1"/>
  <c r="Q259" i="31" s="1"/>
  <c r="D259" i="31" s="1"/>
  <c r="R250" i="31"/>
  <c r="R254" i="31" s="1"/>
  <c r="R258" i="31" s="1"/>
  <c r="E258" i="31" s="1"/>
  <c r="R74" i="31"/>
  <c r="J74" i="31" s="1"/>
  <c r="J73" i="31"/>
  <c r="AB183" i="31"/>
  <c r="AB207" i="31"/>
  <c r="AB209" i="31" s="1"/>
  <c r="AC205" i="31"/>
  <c r="AC179" i="31"/>
  <c r="AC203" i="31"/>
  <c r="AC106" i="31" s="1"/>
  <c r="R95" i="31"/>
  <c r="AA185" i="31"/>
  <c r="AA187" i="31" s="1"/>
  <c r="AA161" i="31"/>
  <c r="AA163" i="31" s="1"/>
  <c r="AA165" i="31" s="1"/>
  <c r="AB181" i="31"/>
  <c r="AB157" i="31"/>
  <c r="AB159" i="31" s="1"/>
  <c r="AB107" i="31"/>
  <c r="S234" i="27"/>
  <c r="S218" i="27"/>
  <c r="U149" i="31"/>
  <c r="S82" i="27"/>
  <c r="S81" i="27"/>
  <c r="S343" i="27"/>
  <c r="S347" i="27" s="1"/>
  <c r="S21" i="27" s="1"/>
  <c r="S23" i="27" s="1"/>
  <c r="S80" i="27"/>
  <c r="S79" i="27"/>
  <c r="R337" i="27"/>
  <c r="R8" i="27"/>
  <c r="X210" i="27"/>
  <c r="X189" i="27"/>
  <c r="X177" i="27" s="1"/>
  <c r="X155" i="27" s="1"/>
  <c r="AA576" i="27"/>
  <c r="AA592" i="27"/>
  <c r="AA602" i="27" s="1"/>
  <c r="AA111" i="27" s="1"/>
  <c r="AA13" i="27" s="1"/>
  <c r="R110" i="27"/>
  <c r="R12" i="27" s="1"/>
  <c r="R75" i="27"/>
  <c r="R77" i="27"/>
  <c r="S177" i="27"/>
  <c r="S73" i="27"/>
  <c r="S78" i="27" s="1"/>
  <c r="S72" i="27"/>
  <c r="S194" i="27"/>
  <c r="U210" i="27"/>
  <c r="U189" i="27"/>
  <c r="T210" i="27"/>
  <c r="T189" i="27"/>
  <c r="U638" i="27"/>
  <c r="T227" i="27"/>
  <c r="W205" i="27"/>
  <c r="W210" i="27" s="1"/>
  <c r="Y149" i="31" s="1"/>
  <c r="W202" i="27"/>
  <c r="R155" i="27"/>
  <c r="R182" i="27"/>
  <c r="R186" i="27" s="1"/>
  <c r="R347" i="27"/>
  <c r="U175" i="31"/>
  <c r="R119" i="31"/>
  <c r="W118" i="31"/>
  <c r="W211" i="31" s="1"/>
  <c r="Y211" i="31" s="1"/>
  <c r="W214" i="31"/>
  <c r="Z121" i="31"/>
  <c r="Y241" i="27"/>
  <c r="X377" i="27"/>
  <c r="X383" i="27" s="1"/>
  <c r="X193" i="27"/>
  <c r="W376" i="27"/>
  <c r="X240" i="27"/>
  <c r="W192" i="27"/>
  <c r="U194" i="27"/>
  <c r="U180" i="27"/>
  <c r="W180" i="27" s="1"/>
  <c r="U72" i="27"/>
  <c r="U73" i="27"/>
  <c r="R219" i="31"/>
  <c r="U384" i="27"/>
  <c r="U345" i="27" s="1"/>
  <c r="T215" i="31"/>
  <c r="T217" i="31" s="1"/>
  <c r="T219" i="31" s="1"/>
  <c r="T189" i="31"/>
  <c r="V174" i="31"/>
  <c r="V193" i="31"/>
  <c r="V195" i="31" s="1"/>
  <c r="V197" i="31" s="1"/>
  <c r="V167" i="31"/>
  <c r="V171" i="31" s="1"/>
  <c r="V173" i="31" s="1"/>
  <c r="P248" i="31"/>
  <c r="I244" i="31"/>
  <c r="P246" i="31"/>
  <c r="P250" i="31" s="1"/>
  <c r="P247" i="31"/>
  <c r="Z221" i="27"/>
  <c r="Y217" i="27"/>
  <c r="AA239" i="27"/>
  <c r="Z191" i="27"/>
  <c r="Z375" i="27"/>
  <c r="Z381" i="27" s="1"/>
  <c r="AA79" i="27"/>
  <c r="AA82" i="27"/>
  <c r="AA8" i="27" s="1"/>
  <c r="AA80" i="27"/>
  <c r="AA81" i="27"/>
  <c r="X228" i="27"/>
  <c r="Z350" i="27"/>
  <c r="Y343" i="27"/>
  <c r="X179" i="27"/>
  <c r="AA177" i="27"/>
  <c r="AA155" i="27" s="1"/>
  <c r="Z619" i="27"/>
  <c r="Y231" i="27"/>
  <c r="Z638" i="27"/>
  <c r="Z654" i="27" s="1"/>
  <c r="Z667" i="27" s="1"/>
  <c r="Z669" i="27" s="1"/>
  <c r="Y651" i="27"/>
  <c r="Y227" i="27" s="1"/>
  <c r="Y233" i="27" s="1"/>
  <c r="Y218" i="27" s="1"/>
  <c r="Y654" i="27"/>
  <c r="Y667" i="27" s="1"/>
  <c r="Y669" i="27" s="1"/>
  <c r="P251" i="31" l="1"/>
  <c r="P255" i="31" s="1"/>
  <c r="P259" i="31" s="1"/>
  <c r="C259" i="31" s="1"/>
  <c r="I250" i="31"/>
  <c r="P252" i="31"/>
  <c r="P256" i="31" s="1"/>
  <c r="P260" i="31" s="1"/>
  <c r="C261" i="31" s="1"/>
  <c r="AC181" i="31"/>
  <c r="AC157" i="31"/>
  <c r="AC159" i="31" s="1"/>
  <c r="AC107" i="31"/>
  <c r="AC207" i="31"/>
  <c r="AC209" i="31" s="1"/>
  <c r="AC183" i="31"/>
  <c r="AB185" i="31"/>
  <c r="AB187" i="31" s="1"/>
  <c r="AB161" i="31"/>
  <c r="AB163" i="31" s="1"/>
  <c r="AB165" i="31" s="1"/>
  <c r="R21" i="27"/>
  <c r="R23" i="27" s="1"/>
  <c r="R332" i="27"/>
  <c r="T228" i="27"/>
  <c r="T233" i="27"/>
  <c r="T177" i="27"/>
  <c r="T194" i="27"/>
  <c r="T72" i="27"/>
  <c r="T73" i="27"/>
  <c r="T78" i="27" s="1"/>
  <c r="W189" i="27"/>
  <c r="U177" i="27"/>
  <c r="U155" i="27" s="1"/>
  <c r="R340" i="27"/>
  <c r="S337" i="27"/>
  <c r="S8" i="27"/>
  <c r="S181" i="27"/>
  <c r="S154" i="27" s="1"/>
  <c r="S219" i="27"/>
  <c r="S74" i="27" s="1"/>
  <c r="W194" i="27"/>
  <c r="U654" i="27"/>
  <c r="U667" i="27" s="1"/>
  <c r="U669" i="27" s="1"/>
  <c r="U651" i="27"/>
  <c r="U227" i="27" s="1"/>
  <c r="V149" i="31"/>
  <c r="T81" i="27"/>
  <c r="T80" i="27"/>
  <c r="T82" i="27"/>
  <c r="T79" i="27"/>
  <c r="T343" i="27"/>
  <c r="T347" i="27" s="1"/>
  <c r="T21" i="27" s="1"/>
  <c r="T23" i="27" s="1"/>
  <c r="W149" i="31"/>
  <c r="U343" i="27"/>
  <c r="U347" i="27" s="1"/>
  <c r="U21" i="27" s="1"/>
  <c r="U23" i="27" s="1"/>
  <c r="U82" i="27"/>
  <c r="U8" i="27" s="1"/>
  <c r="U79" i="27"/>
  <c r="W79" i="27" s="1"/>
  <c r="U81" i="27"/>
  <c r="U80" i="27"/>
  <c r="W80" i="27" s="1"/>
  <c r="S75" i="27"/>
  <c r="S77" i="27"/>
  <c r="S110" i="27"/>
  <c r="S155" i="27"/>
  <c r="R83" i="27"/>
  <c r="R131" i="27" s="1"/>
  <c r="R18" i="27" s="1"/>
  <c r="R130" i="27"/>
  <c r="R17" i="27" s="1"/>
  <c r="Z149" i="31"/>
  <c r="X81" i="27"/>
  <c r="X82" i="27"/>
  <c r="X8" i="27" s="1"/>
  <c r="X80" i="27"/>
  <c r="X79" i="27"/>
  <c r="X343" i="27"/>
  <c r="R157" i="27"/>
  <c r="W192" i="31"/>
  <c r="W218" i="31"/>
  <c r="Y218" i="31" s="1"/>
  <c r="Y214" i="31"/>
  <c r="Y121" i="31" s="1"/>
  <c r="W189" i="31"/>
  <c r="Y189" i="31" s="1"/>
  <c r="W215" i="31"/>
  <c r="W217" i="31" s="1"/>
  <c r="AA121" i="31"/>
  <c r="Z218" i="31"/>
  <c r="Z214" i="31"/>
  <c r="Z192" i="31" s="1"/>
  <c r="W345" i="27"/>
  <c r="U78" i="27"/>
  <c r="Y377" i="27"/>
  <c r="Y383" i="27" s="1"/>
  <c r="Y193" i="27"/>
  <c r="Z241" i="27"/>
  <c r="Y181" i="27"/>
  <c r="U77" i="27"/>
  <c r="U110" i="27"/>
  <c r="W72" i="27"/>
  <c r="Y240" i="27"/>
  <c r="X376" i="27"/>
  <c r="X382" i="27" s="1"/>
  <c r="X384" i="27" s="1"/>
  <c r="X345" i="27" s="1"/>
  <c r="X192" i="27"/>
  <c r="X180" i="27" s="1"/>
  <c r="I247" i="31"/>
  <c r="V175" i="31"/>
  <c r="Y118" i="31"/>
  <c r="T193" i="31"/>
  <c r="T195" i="31" s="1"/>
  <c r="T197" i="31" s="1"/>
  <c r="T167" i="31"/>
  <c r="AA221" i="27"/>
  <c r="AA217" i="27" s="1"/>
  <c r="Z217" i="27"/>
  <c r="Y228" i="27"/>
  <c r="AA191" i="27"/>
  <c r="AA375" i="27"/>
  <c r="AA381" i="27" s="1"/>
  <c r="AA638" i="27"/>
  <c r="AA651" i="27" s="1"/>
  <c r="AA227" i="27" s="1"/>
  <c r="Z651" i="27"/>
  <c r="Z227" i="27" s="1"/>
  <c r="Z233" i="27" s="1"/>
  <c r="Z218" i="27" s="1"/>
  <c r="Z343" i="27"/>
  <c r="AA350" i="27"/>
  <c r="AA343" i="27" s="1"/>
  <c r="Y234" i="27"/>
  <c r="Y216" i="27"/>
  <c r="AA607" i="27"/>
  <c r="Z225" i="27"/>
  <c r="AC161" i="31" l="1"/>
  <c r="AC163" i="31" s="1"/>
  <c r="AC165" i="31" s="1"/>
  <c r="AC185" i="31"/>
  <c r="AC187" i="31" s="1"/>
  <c r="X347" i="27"/>
  <c r="X21" i="27" s="1"/>
  <c r="X23" i="27" s="1"/>
  <c r="W78" i="27"/>
  <c r="W302" i="27" s="1"/>
  <c r="X302" i="27" s="1"/>
  <c r="Y302" i="27" s="1"/>
  <c r="Z302" i="27" s="1"/>
  <c r="AA302" i="27" s="1"/>
  <c r="W343" i="27"/>
  <c r="W347" i="27" s="1"/>
  <c r="W21" i="27" s="1"/>
  <c r="W23" i="27" s="1"/>
  <c r="W81" i="27"/>
  <c r="W73" i="27"/>
  <c r="S182" i="27"/>
  <c r="S186" i="27" s="1"/>
  <c r="Y215" i="31"/>
  <c r="Y217" i="31" s="1"/>
  <c r="Y219" i="31" s="1"/>
  <c r="S83" i="27"/>
  <c r="S130" i="27"/>
  <c r="S17" i="27" s="1"/>
  <c r="T8" i="27"/>
  <c r="E286" i="31"/>
  <c r="E238" i="31"/>
  <c r="U228" i="27"/>
  <c r="W227" i="27"/>
  <c r="U233" i="27"/>
  <c r="S157" i="27"/>
  <c r="G37" i="33"/>
  <c r="T337" i="27"/>
  <c r="S340" i="27"/>
  <c r="R85" i="27"/>
  <c r="T110" i="27"/>
  <c r="T12" i="27" s="1"/>
  <c r="T77" i="27"/>
  <c r="W77" i="27" s="1"/>
  <c r="T155" i="27"/>
  <c r="W155" i="27" s="1"/>
  <c r="W177" i="27"/>
  <c r="T234" i="27"/>
  <c r="T218" i="27"/>
  <c r="S332" i="27"/>
  <c r="R335" i="27"/>
  <c r="R339" i="27" s="1"/>
  <c r="R118" i="27" s="1"/>
  <c r="R162" i="27"/>
  <c r="R160" i="27"/>
  <c r="R133" i="27"/>
  <c r="R138" i="27" s="1"/>
  <c r="S12" i="27"/>
  <c r="R161" i="27"/>
  <c r="W82" i="27"/>
  <c r="W8" i="27" s="1"/>
  <c r="W233" i="27"/>
  <c r="W234" i="27" s="1"/>
  <c r="W219" i="31"/>
  <c r="W193" i="31"/>
  <c r="W195" i="31" s="1"/>
  <c r="W167" i="31"/>
  <c r="Y167" i="31" s="1"/>
  <c r="Z196" i="31"/>
  <c r="Z170" i="31"/>
  <c r="Z174" i="31" s="1"/>
  <c r="AB121" i="31"/>
  <c r="AA214" i="31"/>
  <c r="AA192" i="31" s="1"/>
  <c r="AA218" i="31"/>
  <c r="W196" i="31"/>
  <c r="Y196" i="31" s="1"/>
  <c r="W170" i="31"/>
  <c r="Y192" i="31"/>
  <c r="Y193" i="31" s="1"/>
  <c r="Y195" i="31" s="1"/>
  <c r="Y197" i="31" s="1"/>
  <c r="U130" i="27"/>
  <c r="U83" i="27"/>
  <c r="U131" i="27" s="1"/>
  <c r="Y192" i="27"/>
  <c r="Y180" i="27" s="1"/>
  <c r="Z240" i="27"/>
  <c r="Y376" i="27"/>
  <c r="Y382" i="27" s="1"/>
  <c r="Y384" i="27" s="1"/>
  <c r="Y345" i="27" s="1"/>
  <c r="Y347" i="27" s="1"/>
  <c r="Y21" i="27" s="1"/>
  <c r="Y23" i="27" s="1"/>
  <c r="W110" i="27"/>
  <c r="U12" i="27"/>
  <c r="Z377" i="27"/>
  <c r="Z383" i="27" s="1"/>
  <c r="AA241" i="27"/>
  <c r="Z193" i="27"/>
  <c r="Z181" i="27" s="1"/>
  <c r="Z118" i="31"/>
  <c r="T171" i="31"/>
  <c r="T173" i="31" s="1"/>
  <c r="P254" i="31"/>
  <c r="AA654" i="27"/>
  <c r="AA667" i="27" s="1"/>
  <c r="AA669" i="27" s="1"/>
  <c r="AA619" i="27"/>
  <c r="AA225" i="27" s="1"/>
  <c r="Y219" i="27"/>
  <c r="Y74" i="27" s="1"/>
  <c r="Y179" i="27"/>
  <c r="Z228" i="27"/>
  <c r="Z231" i="27"/>
  <c r="AA233" i="27"/>
  <c r="AA218" i="27" s="1"/>
  <c r="W12" i="27" l="1"/>
  <c r="R163" i="27"/>
  <c r="S335" i="27"/>
  <c r="S339" i="27" s="1"/>
  <c r="S118" i="27" s="1"/>
  <c r="T332" i="27"/>
  <c r="G38" i="33"/>
  <c r="A37" i="33"/>
  <c r="C37" i="33" s="1"/>
  <c r="W228" i="27"/>
  <c r="X233" i="27"/>
  <c r="S131" i="27"/>
  <c r="S85" i="27"/>
  <c r="T219" i="27"/>
  <c r="T74" i="27" s="1"/>
  <c r="T181" i="27"/>
  <c r="T130" i="27"/>
  <c r="T83" i="27"/>
  <c r="T131" i="27" s="1"/>
  <c r="R89" i="27"/>
  <c r="R99" i="27"/>
  <c r="R172" i="27"/>
  <c r="U337" i="27"/>
  <c r="T340" i="27"/>
  <c r="S160" i="27"/>
  <c r="S162" i="27"/>
  <c r="U234" i="27"/>
  <c r="U218" i="27"/>
  <c r="P286" i="31"/>
  <c r="Q286" i="31"/>
  <c r="Q287" i="31" s="1"/>
  <c r="R286" i="31"/>
  <c r="R287" i="31" s="1"/>
  <c r="S161" i="27"/>
  <c r="W197" i="31"/>
  <c r="W174" i="31"/>
  <c r="Y174" i="31" s="1"/>
  <c r="Y170" i="31"/>
  <c r="Y171" i="31" s="1"/>
  <c r="Y173" i="31" s="1"/>
  <c r="AC121" i="31"/>
  <c r="AB218" i="31"/>
  <c r="AB214" i="31"/>
  <c r="AB192" i="31" s="1"/>
  <c r="AA196" i="31"/>
  <c r="AA170" i="31"/>
  <c r="AA174" i="31" s="1"/>
  <c r="W171" i="31"/>
  <c r="W173" i="31" s="1"/>
  <c r="W130" i="27"/>
  <c r="U133" i="27"/>
  <c r="U138" i="27" s="1"/>
  <c r="U17" i="27"/>
  <c r="AA377" i="27"/>
  <c r="AA383" i="27" s="1"/>
  <c r="AA193" i="27"/>
  <c r="AA181" i="27" s="1"/>
  <c r="Z376" i="27"/>
  <c r="Z382" i="27" s="1"/>
  <c r="Z384" i="27" s="1"/>
  <c r="Z345" i="27" s="1"/>
  <c r="Z347" i="27" s="1"/>
  <c r="Z21" i="27" s="1"/>
  <c r="Z23" i="27" s="1"/>
  <c r="Z192" i="27"/>
  <c r="Z180" i="27" s="1"/>
  <c r="AA240" i="27"/>
  <c r="W131" i="27"/>
  <c r="U18" i="27"/>
  <c r="W301" i="27"/>
  <c r="X301" i="27" s="1"/>
  <c r="Y301" i="27" s="1"/>
  <c r="Z301" i="27" s="1"/>
  <c r="AA301" i="27" s="1"/>
  <c r="W83" i="27"/>
  <c r="T175" i="31"/>
  <c r="AA118" i="31"/>
  <c r="Z211" i="31"/>
  <c r="I254" i="31"/>
  <c r="P258" i="31"/>
  <c r="C258" i="31" s="1"/>
  <c r="Z234" i="27"/>
  <c r="Z216" i="27"/>
  <c r="AA228" i="27"/>
  <c r="AA231" i="27"/>
  <c r="S163" i="27" l="1"/>
  <c r="T18" i="27"/>
  <c r="Q290" i="31"/>
  <c r="Q289" i="31"/>
  <c r="Q291" i="31"/>
  <c r="U219" i="27"/>
  <c r="U74" i="27" s="1"/>
  <c r="U75" i="27" s="1"/>
  <c r="U85" i="27" s="1"/>
  <c r="U181" i="27"/>
  <c r="R91" i="27"/>
  <c r="R93" i="27" s="1"/>
  <c r="T17" i="27"/>
  <c r="W17" i="27" s="1"/>
  <c r="T133" i="27"/>
  <c r="T138" i="27" s="1"/>
  <c r="W218" i="27"/>
  <c r="W219" i="27" s="1"/>
  <c r="W74" i="27"/>
  <c r="W75" i="27" s="1"/>
  <c r="T75" i="27"/>
  <c r="T85" i="27" s="1"/>
  <c r="S133" i="27"/>
  <c r="S138" i="27" s="1"/>
  <c r="S18" i="27"/>
  <c r="A38" i="33"/>
  <c r="C38" i="33" s="1"/>
  <c r="F41" i="33"/>
  <c r="G41" i="33"/>
  <c r="R290" i="31"/>
  <c r="R291" i="31"/>
  <c r="R289" i="31"/>
  <c r="I286" i="31"/>
  <c r="P287" i="31"/>
  <c r="U340" i="27"/>
  <c r="W337" i="27"/>
  <c r="T154" i="27"/>
  <c r="T182" i="27"/>
  <c r="T186" i="27" s="1"/>
  <c r="W181" i="27"/>
  <c r="W182" i="27" s="1"/>
  <c r="W186" i="27" s="1"/>
  <c r="S172" i="27"/>
  <c r="S89" i="27"/>
  <c r="S91" i="27" s="1"/>
  <c r="S93" i="27" s="1"/>
  <c r="S95" i="27" s="1"/>
  <c r="S99" i="27"/>
  <c r="X234" i="27"/>
  <c r="X218" i="27"/>
  <c r="T335" i="27"/>
  <c r="T339" i="27" s="1"/>
  <c r="T118" i="27" s="1"/>
  <c r="U332" i="27"/>
  <c r="W175" i="31"/>
  <c r="Y175" i="31"/>
  <c r="AB196" i="31"/>
  <c r="AB170" i="31"/>
  <c r="AB174" i="31" s="1"/>
  <c r="AC218" i="31"/>
  <c r="AC214" i="31"/>
  <c r="AC192" i="31" s="1"/>
  <c r="R26" i="31"/>
  <c r="J30" i="31" s="1"/>
  <c r="AA376" i="27"/>
  <c r="AA382" i="27" s="1"/>
  <c r="AA384" i="27" s="1"/>
  <c r="AA345" i="27" s="1"/>
  <c r="AA347" i="27" s="1"/>
  <c r="AA21" i="27" s="1"/>
  <c r="AA23" i="27" s="1"/>
  <c r="AA192" i="27"/>
  <c r="AA180" i="27" s="1"/>
  <c r="W458" i="27"/>
  <c r="X458" i="27" s="1"/>
  <c r="Y458" i="27" s="1"/>
  <c r="Z458" i="27" s="1"/>
  <c r="AA458" i="27" s="1"/>
  <c r="W457" i="27"/>
  <c r="W133" i="27"/>
  <c r="W138" i="27" s="1"/>
  <c r="AB118" i="31"/>
  <c r="AA211" i="31"/>
  <c r="I258" i="31"/>
  <c r="I242" i="31"/>
  <c r="Z215" i="31"/>
  <c r="Z217" i="31" s="1"/>
  <c r="Z219" i="31" s="1"/>
  <c r="Z189" i="31"/>
  <c r="AA234" i="27"/>
  <c r="AA216" i="27"/>
  <c r="Z219" i="27"/>
  <c r="Z74" i="27" s="1"/>
  <c r="Z179" i="27"/>
  <c r="R295" i="31" l="1"/>
  <c r="R299" i="31" s="1"/>
  <c r="R303" i="31" s="1"/>
  <c r="E303" i="31" s="1"/>
  <c r="Q293" i="31"/>
  <c r="Q297" i="31" s="1"/>
  <c r="Q301" i="31" s="1"/>
  <c r="D301" i="31" s="1"/>
  <c r="R293" i="31"/>
  <c r="R297" i="31" s="1"/>
  <c r="R301" i="31" s="1"/>
  <c r="E301" i="31" s="1"/>
  <c r="R294" i="31"/>
  <c r="R298" i="31" s="1"/>
  <c r="R302" i="31" s="1"/>
  <c r="E302" i="31" s="1"/>
  <c r="Q295" i="31"/>
  <c r="Q299" i="31" s="1"/>
  <c r="Q303" i="31" s="1"/>
  <c r="D303" i="31" s="1"/>
  <c r="Q294" i="31"/>
  <c r="Q298" i="31" s="1"/>
  <c r="Q302" i="31" s="1"/>
  <c r="D302" i="31" s="1"/>
  <c r="S7" i="27"/>
  <c r="S19" i="27" s="1"/>
  <c r="S30" i="27" s="1"/>
  <c r="W18" i="27"/>
  <c r="W332" i="27"/>
  <c r="U335" i="27"/>
  <c r="U339" i="27" s="1"/>
  <c r="U118" i="27" s="1"/>
  <c r="X181" i="27"/>
  <c r="X219" i="27"/>
  <c r="X74" i="27" s="1"/>
  <c r="W340" i="27"/>
  <c r="X337" i="27"/>
  <c r="I287" i="31"/>
  <c r="P289" i="31"/>
  <c r="P293" i="31" s="1"/>
  <c r="P290" i="31"/>
  <c r="P291" i="31"/>
  <c r="F46" i="33"/>
  <c r="F50" i="33" s="1"/>
  <c r="F54" i="33" s="1"/>
  <c r="F58" i="33" s="1"/>
  <c r="A40" i="33"/>
  <c r="F45" i="33"/>
  <c r="F47" i="33"/>
  <c r="F51" i="33" s="1"/>
  <c r="F55" i="33" s="1"/>
  <c r="F59" i="33" s="1"/>
  <c r="T172" i="27"/>
  <c r="T89" i="27"/>
  <c r="T99" i="27"/>
  <c r="W85" i="27"/>
  <c r="W89" i="27" s="1"/>
  <c r="U172" i="27"/>
  <c r="W172" i="27" s="1"/>
  <c r="U89" i="27"/>
  <c r="U91" i="27" s="1"/>
  <c r="U99" i="27"/>
  <c r="T157" i="27"/>
  <c r="T160" i="27" s="1"/>
  <c r="G46" i="33"/>
  <c r="G50" i="33" s="1"/>
  <c r="G54" i="33" s="1"/>
  <c r="G58" i="33" s="1"/>
  <c r="G45" i="33"/>
  <c r="G49" i="33" s="1"/>
  <c r="G53" i="33" s="1"/>
  <c r="G57" i="33" s="1"/>
  <c r="G47" i="33"/>
  <c r="G51" i="33" s="1"/>
  <c r="G55" i="33" s="1"/>
  <c r="G59" i="33" s="1"/>
  <c r="A58" i="33" s="1"/>
  <c r="A41" i="33"/>
  <c r="R144" i="27"/>
  <c r="S144" i="27" s="1"/>
  <c r="R95" i="27"/>
  <c r="R7" i="27"/>
  <c r="R19" i="27" s="1"/>
  <c r="R30" i="27" s="1"/>
  <c r="U154" i="27"/>
  <c r="U157" i="27" s="1"/>
  <c r="U182" i="27"/>
  <c r="U186" i="27" s="1"/>
  <c r="AC196" i="31"/>
  <c r="AC170" i="31"/>
  <c r="AC174" i="31" s="1"/>
  <c r="S37" i="27"/>
  <c r="S44" i="27" s="1"/>
  <c r="AC118" i="31"/>
  <c r="AC211" i="31" s="1"/>
  <c r="AB211" i="31"/>
  <c r="Z193" i="31"/>
  <c r="Z195" i="31" s="1"/>
  <c r="Z197" i="31" s="1"/>
  <c r="Z167" i="31"/>
  <c r="Z171" i="31" s="1"/>
  <c r="Z173" i="31" s="1"/>
  <c r="AA215" i="31"/>
  <c r="AA217" i="31" s="1"/>
  <c r="AA219" i="31" s="1"/>
  <c r="AA189" i="31"/>
  <c r="AA219" i="27"/>
  <c r="AA74" i="27" s="1"/>
  <c r="AA179" i="27"/>
  <c r="P295" i="31" l="1"/>
  <c r="P299" i="31" s="1"/>
  <c r="P303" i="31" s="1"/>
  <c r="C303" i="31" s="1"/>
  <c r="P294" i="31"/>
  <c r="P298" i="31" s="1"/>
  <c r="P302" i="31" s="1"/>
  <c r="C302" i="31" s="1"/>
  <c r="R145" i="27"/>
  <c r="R147" i="27" s="1"/>
  <c r="U93" i="27"/>
  <c r="U95" i="27" s="1"/>
  <c r="U160" i="27"/>
  <c r="U162" i="27"/>
  <c r="U161" i="27"/>
  <c r="W99" i="27"/>
  <c r="P67" i="27"/>
  <c r="F49" i="33"/>
  <c r="C46" i="33"/>
  <c r="X332" i="27"/>
  <c r="W335" i="27"/>
  <c r="W339" i="27" s="1"/>
  <c r="W118" i="27" s="1"/>
  <c r="R37" i="27"/>
  <c r="R44" i="27" s="1"/>
  <c r="R31" i="27"/>
  <c r="R33" i="27" s="1"/>
  <c r="S145" i="27"/>
  <c r="S147" i="27" s="1"/>
  <c r="W154" i="27"/>
  <c r="T162" i="27"/>
  <c r="T161" i="27"/>
  <c r="T91" i="27"/>
  <c r="W91" i="27" s="1"/>
  <c r="W93" i="27" s="1"/>
  <c r="W7" i="27" s="1"/>
  <c r="W19" i="27" s="1"/>
  <c r="C41" i="33"/>
  <c r="I290" i="31"/>
  <c r="Y337" i="27"/>
  <c r="X340" i="27"/>
  <c r="Z175" i="31"/>
  <c r="AC215" i="31"/>
  <c r="AC217" i="31" s="1"/>
  <c r="AC219" i="31" s="1"/>
  <c r="AC189" i="31"/>
  <c r="AA193" i="31"/>
  <c r="AA195" i="31" s="1"/>
  <c r="AA197" i="31" s="1"/>
  <c r="AA167" i="31"/>
  <c r="AA171" i="31" s="1"/>
  <c r="AA173" i="31" s="1"/>
  <c r="AB215" i="31"/>
  <c r="AB217" i="31" s="1"/>
  <c r="AB219" i="31" s="1"/>
  <c r="AB189" i="31"/>
  <c r="W95" i="27" l="1"/>
  <c r="U7" i="27"/>
  <c r="U19" i="27" s="1"/>
  <c r="U30" i="27" s="1"/>
  <c r="T163" i="27"/>
  <c r="R109" i="27"/>
  <c r="S29" i="27"/>
  <c r="R116" i="27"/>
  <c r="R124" i="27" s="1"/>
  <c r="R149" i="27" s="1"/>
  <c r="S31" i="27"/>
  <c r="Z337" i="27"/>
  <c r="Y340" i="27"/>
  <c r="I293" i="31"/>
  <c r="P297" i="31"/>
  <c r="T93" i="27"/>
  <c r="W157" i="27"/>
  <c r="W160" i="27" s="1"/>
  <c r="Y332" i="27"/>
  <c r="X335" i="27"/>
  <c r="X339" i="27" s="1"/>
  <c r="X118" i="27" s="1"/>
  <c r="C49" i="33"/>
  <c r="F53" i="33"/>
  <c r="U163" i="27"/>
  <c r="W30" i="27"/>
  <c r="W31" i="27" s="1"/>
  <c r="W33" i="27" s="1"/>
  <c r="AA175" i="31"/>
  <c r="AB193" i="31"/>
  <c r="AB195" i="31" s="1"/>
  <c r="AB197" i="31" s="1"/>
  <c r="AB167" i="31"/>
  <c r="AB171" i="31" s="1"/>
  <c r="AB173" i="31" s="1"/>
  <c r="AC193" i="31"/>
  <c r="AC195" i="31" s="1"/>
  <c r="AC197" i="31" s="1"/>
  <c r="AC167" i="31"/>
  <c r="AC171" i="31" s="1"/>
  <c r="AC173" i="31" s="1"/>
  <c r="X29" i="27" l="1"/>
  <c r="W109" i="27"/>
  <c r="W116" i="27" s="1"/>
  <c r="W124" i="27" s="1"/>
  <c r="Y335" i="27"/>
  <c r="Y339" i="27" s="1"/>
  <c r="Y118" i="27" s="1"/>
  <c r="Z332" i="27"/>
  <c r="W161" i="27"/>
  <c r="W162" i="27"/>
  <c r="W163" i="27" s="1"/>
  <c r="P301" i="31"/>
  <c r="C301" i="31" s="1"/>
  <c r="I301" i="31" s="1"/>
  <c r="I297" i="31"/>
  <c r="S109" i="27"/>
  <c r="S116" i="27" s="1"/>
  <c r="S124" i="27" s="1"/>
  <c r="S149" i="27" s="1"/>
  <c r="T29" i="27"/>
  <c r="C53" i="33"/>
  <c r="F57" i="33"/>
  <c r="A57" i="33" s="1"/>
  <c r="C57" i="33" s="1"/>
  <c r="T95" i="27"/>
  <c r="T7" i="27"/>
  <c r="T19" i="27" s="1"/>
  <c r="T30" i="27" s="1"/>
  <c r="T37" i="27" s="1"/>
  <c r="T44" i="27" s="1"/>
  <c r="T144" i="27"/>
  <c r="Z340" i="27"/>
  <c r="AA337" i="27"/>
  <c r="AA340" i="27" s="1"/>
  <c r="U37" i="27"/>
  <c r="U44" i="27" s="1"/>
  <c r="AC175" i="31"/>
  <c r="AB175" i="31"/>
  <c r="T145" i="27" l="1"/>
  <c r="T147" i="27" s="1"/>
  <c r="U144" i="27"/>
  <c r="T31" i="27"/>
  <c r="Z335" i="27"/>
  <c r="Z339" i="27" s="1"/>
  <c r="Z118" i="27" s="1"/>
  <c r="AA332" i="27"/>
  <c r="AA335" i="27" s="1"/>
  <c r="AA339" i="27" s="1"/>
  <c r="AA118" i="27" s="1"/>
  <c r="N402" i="27"/>
  <c r="U29" i="27" l="1"/>
  <c r="U31" i="27" s="1"/>
  <c r="U109" i="27" s="1"/>
  <c r="U116" i="27" s="1"/>
  <c r="U124" i="27" s="1"/>
  <c r="T109" i="27"/>
  <c r="T116" i="27" s="1"/>
  <c r="T124" i="27" s="1"/>
  <c r="T149" i="27" s="1"/>
  <c r="W144" i="27"/>
  <c r="W145" i="27" s="1"/>
  <c r="W147" i="27" s="1"/>
  <c r="W149" i="27" s="1"/>
  <c r="U145" i="27"/>
  <c r="U147" i="27" s="1"/>
  <c r="X238" i="27"/>
  <c r="X190" i="27" s="1"/>
  <c r="U149" i="27" l="1"/>
  <c r="X72" i="27"/>
  <c r="X194" i="27"/>
  <c r="X178" i="27"/>
  <c r="X73" i="27"/>
  <c r="X78" i="27" s="1"/>
  <c r="Y238" i="27"/>
  <c r="X154" i="27" l="1"/>
  <c r="X182" i="27"/>
  <c r="X186" i="27" s="1"/>
  <c r="Y190" i="27"/>
  <c r="Z238" i="27"/>
  <c r="X110" i="27"/>
  <c r="X75" i="27"/>
  <c r="X77" i="27"/>
  <c r="X157" i="27" l="1"/>
  <c r="X160" i="27" s="1"/>
  <c r="X12" i="27"/>
  <c r="AA238" i="27"/>
  <c r="AA190" i="27" s="1"/>
  <c r="Z190" i="27"/>
  <c r="X83" i="27"/>
  <c r="X131" i="27" s="1"/>
  <c r="X18" i="27" s="1"/>
  <c r="X130" i="27"/>
  <c r="Y73" i="27"/>
  <c r="Y78" i="27" s="1"/>
  <c r="Y194" i="27"/>
  <c r="Y72" i="27"/>
  <c r="Y178" i="27"/>
  <c r="X162" i="27" l="1"/>
  <c r="X161" i="27"/>
  <c r="Y110" i="27"/>
  <c r="Y77" i="27"/>
  <c r="Y75" i="27"/>
  <c r="Z72" i="27"/>
  <c r="Z178" i="27"/>
  <c r="Z73" i="27"/>
  <c r="Z78" i="27" s="1"/>
  <c r="Z194" i="27"/>
  <c r="X85" i="27"/>
  <c r="AA194" i="27"/>
  <c r="AA178" i="27"/>
  <c r="AA72" i="27"/>
  <c r="AA73" i="27"/>
  <c r="AA78" i="27" s="1"/>
  <c r="Y182" i="27"/>
  <c r="Y186" i="27" s="1"/>
  <c r="Y154" i="27"/>
  <c r="X133" i="27"/>
  <c r="X138" i="27" s="1"/>
  <c r="X17" i="27"/>
  <c r="X163" i="27" l="1"/>
  <c r="Y157" i="27"/>
  <c r="Y160" i="27" s="1"/>
  <c r="Y83" i="27"/>
  <c r="Y131" i="27" s="1"/>
  <c r="Y18" i="27" s="1"/>
  <c r="Y130" i="27"/>
  <c r="Z154" i="27"/>
  <c r="Z182" i="27"/>
  <c r="Z186" i="27" s="1"/>
  <c r="Y12" i="27"/>
  <c r="X89" i="27"/>
  <c r="X172" i="27"/>
  <c r="X99" i="27"/>
  <c r="Z77" i="27"/>
  <c r="Z75" i="27"/>
  <c r="Z110" i="27"/>
  <c r="Z12" i="27" s="1"/>
  <c r="AA110" i="27"/>
  <c r="AA75" i="27"/>
  <c r="AA77" i="27"/>
  <c r="AA182" i="27"/>
  <c r="AA186" i="27" s="1"/>
  <c r="AA154" i="27"/>
  <c r="Z157" i="27" l="1"/>
  <c r="Y162" i="27"/>
  <c r="Y161" i="27"/>
  <c r="AA157" i="27"/>
  <c r="Y85" i="27"/>
  <c r="Y172" i="27" s="1"/>
  <c r="Z83" i="27"/>
  <c r="Z131" i="27" s="1"/>
  <c r="Z18" i="27" s="1"/>
  <c r="Z130" i="27"/>
  <c r="Y133" i="27"/>
  <c r="Y138" i="27" s="1"/>
  <c r="Y17" i="27"/>
  <c r="AA83" i="27"/>
  <c r="AA131" i="27" s="1"/>
  <c r="AA130" i="27"/>
  <c r="AA12" i="27"/>
  <c r="X91" i="27"/>
  <c r="X93" i="27" s="1"/>
  <c r="Y163" i="27" l="1"/>
  <c r="AA162" i="27"/>
  <c r="AA161" i="27"/>
  <c r="Z162" i="27"/>
  <c r="Z161" i="27"/>
  <c r="AA160" i="27"/>
  <c r="Z160" i="27"/>
  <c r="Y89" i="27"/>
  <c r="Y91" i="27" s="1"/>
  <c r="Y93" i="27" s="1"/>
  <c r="Y99" i="27"/>
  <c r="X144" i="27"/>
  <c r="X95" i="27"/>
  <c r="X7" i="27"/>
  <c r="X19" i="27" s="1"/>
  <c r="Z17" i="27"/>
  <c r="Z133" i="27"/>
  <c r="Z138" i="27" s="1"/>
  <c r="AA133" i="27"/>
  <c r="AA138" i="27" s="1"/>
  <c r="AA17" i="27"/>
  <c r="Z85" i="27"/>
  <c r="AA18" i="27"/>
  <c r="AA85" i="27"/>
  <c r="X30" i="27" l="1"/>
  <c r="Z163" i="27"/>
  <c r="AA163" i="27"/>
  <c r="Y7" i="27"/>
  <c r="Y19" i="27" s="1"/>
  <c r="Y95" i="27"/>
  <c r="Z172" i="27"/>
  <c r="Z89" i="27"/>
  <c r="Z99" i="27"/>
  <c r="AA99" i="27"/>
  <c r="AA89" i="27"/>
  <c r="AA172" i="27"/>
  <c r="X145" i="27"/>
  <c r="X147" i="27" s="1"/>
  <c r="Y144" i="27"/>
  <c r="X31" i="27" l="1"/>
  <c r="X109" i="27" s="1"/>
  <c r="X116" i="27" s="1"/>
  <c r="X124" i="27" s="1"/>
  <c r="X149" i="27" s="1"/>
  <c r="X37" i="27"/>
  <c r="X44" i="27" s="1"/>
  <c r="Y30" i="27"/>
  <c r="Y37" i="27" s="1"/>
  <c r="Y44" i="27" s="1"/>
  <c r="Y145" i="27"/>
  <c r="Y147" i="27" s="1"/>
  <c r="AA91" i="27"/>
  <c r="AA93" i="27" s="1"/>
  <c r="Z91" i="27"/>
  <c r="Z93" i="27" s="1"/>
  <c r="Y29" i="27" l="1"/>
  <c r="Y31" i="27" s="1"/>
  <c r="Z29" i="27" s="1"/>
  <c r="Z95" i="27"/>
  <c r="Z7" i="27"/>
  <c r="Z19" i="27" s="1"/>
  <c r="Z144" i="27"/>
  <c r="AA95" i="27"/>
  <c r="AA7" i="27"/>
  <c r="AA19" i="27" s="1"/>
  <c r="Y109" i="27" l="1"/>
  <c r="Y116" i="27" s="1"/>
  <c r="Y124" i="27" s="1"/>
  <c r="Y149" i="27" s="1"/>
  <c r="AA30" i="27"/>
  <c r="AA37" i="27" s="1"/>
  <c r="Z30" i="27"/>
  <c r="Z145" i="27"/>
  <c r="Z147" i="27" s="1"/>
  <c r="AA144" i="27"/>
  <c r="AA145" i="27" s="1"/>
  <c r="AA147" i="27" s="1"/>
  <c r="Z31" i="27" l="1"/>
  <c r="AA29" i="27" s="1"/>
  <c r="AA31" i="27" s="1"/>
  <c r="AA109" i="27" s="1"/>
  <c r="AA116" i="27" s="1"/>
  <c r="AA124" i="27" s="1"/>
  <c r="AA149" i="27" s="1"/>
  <c r="Z37" i="27"/>
  <c r="Z44" i="27" s="1"/>
  <c r="AA39" i="27"/>
  <c r="AA45" i="27" s="1"/>
  <c r="AA44" i="27"/>
  <c r="P49" i="27" l="1"/>
  <c r="Z109" i="27"/>
  <c r="Z116" i="27" s="1"/>
  <c r="Z124" i="27" s="1"/>
  <c r="Z149" i="27" s="1"/>
  <c r="P54" i="27" l="1"/>
  <c r="P57" i="27" s="1"/>
  <c r="P61" i="27"/>
  <c r="P64" i="27" s="1"/>
  <c r="O67" i="27" l="1"/>
  <c r="O66" i="27"/>
</calcChain>
</file>

<file path=xl/comments1.xml><?xml version="1.0" encoding="utf-8"?>
<comments xmlns="http://schemas.openxmlformats.org/spreadsheetml/2006/main">
  <authors>
    <author>Owner</author>
    <author>douglasb</author>
  </authors>
  <commentList>
    <comment ref="P53" authorId="0" shapeId="0">
      <text>
        <r>
          <rPr>
            <sz val="9"/>
            <color indexed="81"/>
            <rFont val="Tahoma"/>
            <family val="2"/>
          </rPr>
          <t xml:space="preserve">11.3m new shares underlying $172.5m par value convertible notes due July 2014 assumed extinguished upon cash settlement at maturity - as modeled in the debt schedule below
</t>
        </r>
      </text>
    </comment>
    <comment ref="H253" authorId="0" shapeId="0">
      <text>
        <r>
          <rPr>
            <b/>
            <sz val="9"/>
            <color indexed="81"/>
            <rFont val="Tahoma"/>
            <family val="2"/>
          </rPr>
          <t>Owner:</t>
        </r>
        <r>
          <rPr>
            <sz val="9"/>
            <color indexed="81"/>
            <rFont val="Tahoma"/>
            <family val="2"/>
          </rPr>
          <t xml:space="preserve">
Regis Salons.    Regis Salons are primarily mall based, full service salons providing complete hair care and beauty services aimed at moderate to upscale, fashion conscious consumers. In recent years, the Company has expanded its Regis Salons into strip centers. As of June 30, 2012, of the 953 total Regis Salons, 156 Regis Salons were located in strip centers. The guest mix at Regis Salons is approximately 79 percent women, and both appointments and walk-in guests are common. These salons offer a full range of custom styling, cutting, hair coloring and waving services, as well as professional hair care products. Service revenues represent approximately 82 percent of the concept's total revenues. The average ticket was approximately $43 and $42 for fiscal years 2012 and 2011, respectively. Regis Salons compete in their existing markets primarily by emphasizing the high quality of the services provided. Included within the Regis Salon concept are various other trade names, including Carlton Hair, Sassoon, Hair by Stewarts, Hair Excitement, and Renee Beauty. 
        The average initial capital investment required for a new Regis Salon is approximately </t>
        </r>
        <r>
          <rPr>
            <b/>
            <sz val="9"/>
            <color indexed="81"/>
            <rFont val="Tahoma"/>
            <family val="2"/>
          </rPr>
          <t>$190,000 to $240,000</t>
        </r>
        <r>
          <rPr>
            <sz val="9"/>
            <color indexed="81"/>
            <rFont val="Tahoma"/>
            <family val="2"/>
          </rPr>
          <t xml:space="preserve">, excluding average opening inventory costs of approximately </t>
        </r>
        <r>
          <rPr>
            <b/>
            <sz val="9"/>
            <color indexed="81"/>
            <rFont val="Tahoma"/>
            <family val="2"/>
          </rPr>
          <t>$22,000</t>
        </r>
        <r>
          <rPr>
            <sz val="9"/>
            <color indexed="81"/>
            <rFont val="Tahoma"/>
            <family val="2"/>
          </rPr>
          <t>. Average annual salon revenues in a Regis Salon which has been open five years or more are approximately</t>
        </r>
        <r>
          <rPr>
            <b/>
            <sz val="9"/>
            <color indexed="81"/>
            <rFont val="Tahoma"/>
            <family val="2"/>
          </rPr>
          <t xml:space="preserve"> $400,000. </t>
        </r>
        <r>
          <rPr>
            <sz val="9"/>
            <color indexed="81"/>
            <rFont val="Tahoma"/>
            <family val="2"/>
          </rPr>
          <t xml:space="preserve">
</t>
        </r>
      </text>
    </comment>
    <comment ref="L253" authorId="1" shapeId="0">
      <text>
        <r>
          <rPr>
            <b/>
            <sz val="9"/>
            <color indexed="81"/>
            <rFont val="Tahoma"/>
            <family val="2"/>
          </rPr>
          <t>douglasb:</t>
        </r>
        <r>
          <rPr>
            <sz val="9"/>
            <color indexed="81"/>
            <rFont val="Tahoma"/>
            <family val="2"/>
          </rPr>
          <t xml:space="preserve">
    Regis Salons.    Regis Salons are primarily mall based, full service salons providing complete hair care and beauty services aimed at moderate to upscale, fashion conscious consumers. The guest mix at Regis Salons is approximately 80 percent women, and both appointments and walk-in guests are common. These salons offer a full range of custom styling, cutting, hair coloring and waving services, as well as professional hair care products. </t>
        </r>
        <r>
          <rPr>
            <b/>
            <sz val="9"/>
            <color indexed="81"/>
            <rFont val="Tahoma"/>
            <family val="2"/>
          </rPr>
          <t>Service revenues represent approximately 81 percent of the concept's total revenues.</t>
        </r>
        <r>
          <rPr>
            <sz val="9"/>
            <color indexed="81"/>
            <rFont val="Tahoma"/>
            <family val="2"/>
          </rPr>
          <t xml:space="preserve"> Regis Salons compete in their existing markets primarily by providing high quality services. Included within the Regis Salon concept are various other trade names, including Carlton Hair, Sassoon, Hair by Stewarts, Hair Excitement, and Renee Beauty. </t>
        </r>
      </text>
    </comment>
    <comment ref="H254" authorId="0" shapeId="0">
      <text>
        <r>
          <rPr>
            <b/>
            <sz val="9"/>
            <color indexed="81"/>
            <rFont val="Tahoma"/>
            <family val="2"/>
          </rPr>
          <t>Owner:</t>
        </r>
        <r>
          <rPr>
            <sz val="9"/>
            <color indexed="81"/>
            <rFont val="Tahoma"/>
            <family val="2"/>
          </rPr>
          <t xml:space="preserve">
MasterCuts.    MasterCuts is a full service, mall based salon group which focuses on the walk-in consumer (no appointment necessary) that demands moderately priced hair care services. MasterCuts salons emphasize quality hair care services, affordable prices and time saving services for the entire family. These salons offer a full range of custom styling, cutting, hair coloring and waving services as well as professional hair care products. The guest mix at MasterCuts is approximately 58 percent women. Service revenues compose approximately 80 percent of the concept's total revenues. The average ticket was approximately $22 for fiscal years 2012 and 2011. 
        The average initial capital investment required for a new MasterCuts salon is approximately $150,000 to $200,000, excluding average opening inventory costs of approximately $14,300. Average annual salon revenues in a MasterCuts salon which has been open five years or more are approximately $280,000. 
</t>
        </r>
      </text>
    </comment>
    <comment ref="L254" authorId="1" shapeId="0">
      <text>
        <r>
          <rPr>
            <b/>
            <sz val="9"/>
            <color indexed="81"/>
            <rFont val="Tahoma"/>
            <family val="2"/>
          </rPr>
          <t>douglasb:</t>
        </r>
        <r>
          <rPr>
            <sz val="9"/>
            <color indexed="81"/>
            <rFont val="Tahoma"/>
            <family val="2"/>
          </rPr>
          <t xml:space="preserve">
 MasterCuts.    MasterCuts salons are a full service, mall based salon group which focuses on the walk-in consumer who demands moderately priced hair care services. MasterCuts salons emphasize quality hair care services, affordable prices and time saving services for the entire family. These salons offer a full range of custom styling, cutting, hair coloring and waving services as well as professional hair care products. </t>
        </r>
        <r>
          <rPr>
            <b/>
            <sz val="9"/>
            <color indexed="81"/>
            <rFont val="Tahoma"/>
            <family val="2"/>
          </rPr>
          <t xml:space="preserve">Service revenues comprise approximately 80 percent of the concept's total revenues. </t>
        </r>
      </text>
    </comment>
    <comment ref="H255" authorId="0" shapeId="0">
      <text>
        <r>
          <rPr>
            <b/>
            <sz val="9"/>
            <color indexed="81"/>
            <rFont val="Tahoma"/>
            <family val="2"/>
          </rPr>
          <t>Owner:</t>
        </r>
        <r>
          <rPr>
            <sz val="9"/>
            <color indexed="81"/>
            <rFont val="Tahoma"/>
            <family val="2"/>
          </rPr>
          <t xml:space="preserve">
SmartStyle.    The SmartStyle salons share many operating characteristics of the Company's other salon concepts; however, they are located exclusively in Walmart Supercenters. SmartStyle has a walk-in guest base, pricing is promotional and services are focused on the family. These salons offer a full range of custom styling, cutting, hair coloring and waving services, as well as professional hair care products. The guest mix at SmartStyle Salons is approximately 75 percent women. Professional retail product sales contribute considerably to overall revenues at approximately 34 percent. Additionally, the Company has 122 franchise salons located in Walmart Supercenters. The average ticket was approximately $21 for fiscal years 2012 and 2011. 
        The average initial capital investment required for a new SmartStyle salon is approximately $35,000 to $45,000, excluding average opening inventory costs of approximately $13,100. Average annual salon revenues in a SmartStyle salon which has been open five years or more are approximately $230,000. 
</t>
        </r>
      </text>
    </comment>
    <comment ref="L255" authorId="1" shapeId="0">
      <text>
        <r>
          <rPr>
            <b/>
            <sz val="9"/>
            <color indexed="81"/>
            <rFont val="Tahoma"/>
            <family val="2"/>
          </rPr>
          <t>douglasb:</t>
        </r>
        <r>
          <rPr>
            <sz val="9"/>
            <color indexed="81"/>
            <rFont val="Tahoma"/>
            <family val="2"/>
          </rPr>
          <t xml:space="preserve">
SmartStyle.    SmartStyle salons offer a full range of custom styling, cutting, hair coloring and waving services, as well as professional hair care products and are located exclusively in Walmart Supercenters. SmartStyle has a walk-in guest base, pricing is promotional and services are focused on the family. </t>
        </r>
        <r>
          <rPr>
            <b/>
            <sz val="9"/>
            <color indexed="81"/>
            <rFont val="Tahoma"/>
            <family val="2"/>
          </rPr>
          <t xml:space="preserve">Professional retail product sales contribute considerably to overall revenues at approximately 33 percent. </t>
        </r>
        <r>
          <rPr>
            <sz val="9"/>
            <color indexed="81"/>
            <rFont val="Tahoma"/>
            <family val="2"/>
          </rPr>
          <t xml:space="preserve">Additionally, the Company has 123 franchised Cost Cutters salons located in Walmart Supercenters. </t>
        </r>
      </text>
    </comment>
    <comment ref="H256" authorId="0" shapeId="0">
      <text>
        <r>
          <rPr>
            <b/>
            <sz val="9"/>
            <color indexed="81"/>
            <rFont val="Tahoma"/>
            <family val="2"/>
          </rPr>
          <t>Owner:</t>
        </r>
        <r>
          <rPr>
            <sz val="9"/>
            <color indexed="81"/>
            <rFont val="Tahoma"/>
            <family val="2"/>
          </rPr>
          <t xml:space="preserve">
Supercuts.    The Supercuts concept provides consistent, high quality hair care services and professional products to its guests at convenient times and locations and at a reasonable price. This concept appeals to men, women and children, although male guests account for approximately 66 percent of the guest mix. Service revenues represent approximately 89 percent of total company-owned Supercuts revenues. The average ticket was approximately $17 for fiscal years 2012 and 2011. 
 The average initial capital investment required for a new Supercuts salon is approximately $80,000 to $130,000, excluding average opening inventory costs of approximately $8,800. Average annual salon revenues in a company-owned Supercuts salon which has been open five years or more are approximately $270,000. 
        The Supercuts franchise salons provide consistent, high quality hair care services and professional products to guests at convenient times and locations and at a reasonable price. These Supercuts franchise salons appeal to men, women and children, although male guests account for approximately 71 percent of the guest mix. Service revenues represent approximately 92 percent of the Supercuts franchise total revenues. Average annual revenues in a Supercuts franchise salon which has been open five years or more are approximately $340,000. 
</t>
        </r>
      </text>
    </comment>
    <comment ref="L256" authorId="1" shapeId="0">
      <text>
        <r>
          <rPr>
            <b/>
            <sz val="9"/>
            <color indexed="81"/>
            <rFont val="Tahoma"/>
            <family val="2"/>
          </rPr>
          <t>douglasb:</t>
        </r>
        <r>
          <rPr>
            <sz val="9"/>
            <color indexed="81"/>
            <rFont val="Tahoma"/>
            <family val="2"/>
          </rPr>
          <t xml:space="preserve">
Supercuts.    Supercuts salons provide consistent, high quality hair care services and professional products to its guests at convenient times and locations and at value prices. This concept appeals to men, women and children, although male guests account for approximately 64 percent of the guest mix. </t>
        </r>
        <r>
          <rPr>
            <b/>
            <sz val="9"/>
            <color indexed="81"/>
            <rFont val="Tahoma"/>
            <family val="2"/>
          </rPr>
          <t xml:space="preserve">Service revenues represent approximately 89 percent of total company-owned Supercuts revenues. </t>
        </r>
      </text>
    </comment>
    <comment ref="H257" authorId="0" shapeId="0">
      <text>
        <r>
          <rPr>
            <b/>
            <sz val="9"/>
            <color indexed="81"/>
            <rFont val="Tahoma"/>
            <family val="2"/>
          </rPr>
          <t>Owner:</t>
        </r>
        <r>
          <rPr>
            <sz val="9"/>
            <color indexed="81"/>
            <rFont val="Tahoma"/>
            <family val="2"/>
          </rPr>
          <t xml:space="preserve">
 Promenade Salons.    Promenade Salons are made up of successful regional company-owned salon groups acquired over the past several years operating under the primary concepts of Hair Masters, Cool Cuts for Kids, Style America, First Choice Haircutters, Famous Hair, Cost Cutters, BoRics, Magicuts, Holiday Hair, Head Start, Fiesta Salons and TGF, as well as other concept names. Most concepts offer a full range of custom hairstyling, cutting, coloring and waving, as well as hair care products. Hair Masters offers moderately-priced services to a predominately female demographic, while the other concepts primarily cater to time-pressed, value-oriented families. The guest mix is split relatively evenly between men and women at most concepts. Service revenues represent approximately 89 percent of total company-owned Promenade revenues. The average ticket was approximately $19 and $20 for fiscal years 2012 and 2011, respectively. 
        The average initial capital investment required for a new Promenade Salon is approximately $75,000 to $125,000, excluding average opening inventory costs of approximately $9,300. Average annual salon revenues in a Promenade Salon which has been open five years or more are approximately $245,000. 
</t>
        </r>
      </text>
    </comment>
    <comment ref="L257" authorId="1" shapeId="0">
      <text>
        <r>
          <rPr>
            <b/>
            <sz val="9"/>
            <color indexed="81"/>
            <rFont val="Tahoma"/>
            <family val="2"/>
          </rPr>
          <t>douglasb:</t>
        </r>
        <r>
          <rPr>
            <sz val="9"/>
            <color indexed="81"/>
            <rFont val="Tahoma"/>
            <family val="2"/>
          </rPr>
          <t xml:space="preserve">
Promenade.    Promenade Salons are made up of acquired regional company-owned salon groups operating under the primary concepts of Hair Masters, Cool Cuts for Kids, Style America, First Choice Haircutters, Famous Hair, Cost Cutters, BoRics, Magicuts, Holiday Hair, Head Start, Fiesta Salons and TGF, as well as other concept names. Most concepts offer a full range of custom hairstyling, cutting, coloring and waving, as well as hair care products. Hair Masters offers moderately-priced services to a predominately female demographic, while the other concepts primarily cater to time-pressed, value-oriented families. </t>
        </r>
        <r>
          <rPr>
            <b/>
            <sz val="9"/>
            <color indexed="81"/>
            <rFont val="Tahoma"/>
            <family val="2"/>
          </rPr>
          <t xml:space="preserve">Service revenues represent approximately 89 percent of total company-owned Promenade revenues. </t>
        </r>
      </text>
    </comment>
    <comment ref="H258" authorId="0" shapeId="0">
      <text>
        <r>
          <rPr>
            <b/>
            <sz val="9"/>
            <color indexed="81"/>
            <rFont val="Tahoma"/>
            <family val="2"/>
          </rPr>
          <t>Owner:</t>
        </r>
        <r>
          <rPr>
            <sz val="9"/>
            <color indexed="81"/>
            <rFont val="Tahoma"/>
            <family val="2"/>
          </rPr>
          <t xml:space="preserve">
International Salons.    The Company's International salons are comprised of company-owned salons operating in the United Kingdom primarily under the Supercuts, Regis and Sassoon concepts. These salons offer similar levels of service as the North American salons previously mentioned. However, the initial capital investment required is typically between £110,000 and £130,000 for a Regis salon, and between £60,000 and £80,000 for a Supercuts salon. Average annual salon revenues for a salon which has been open five years or more are approximately £210,000 in a Regis salon and £165,000 in a Supercuts salon. Sassoon is one of the world's most recognized names in hair fashion and appeals to women and men looking for a prestigious full service hair salon. Salons are usually located on prominent high-street locations and offer a full range of custom hairstyling, cutting, coloring and waving, as well as professional hair care products. The initial capital investment required is approximately £500,000. Average annual salon revenues for a salon which has been open five years or more is approximately £770,000. </t>
        </r>
      </text>
    </comment>
    <comment ref="A323" authorId="0" shapeId="0">
      <text>
        <r>
          <rPr>
            <b/>
            <sz val="9"/>
            <color indexed="81"/>
            <rFont val="Tahoma"/>
            <family val="2"/>
          </rPr>
          <t>Restricted cash:</t>
        </r>
        <r>
          <rPr>
            <sz val="9"/>
            <color indexed="81"/>
            <rFont val="Tahoma"/>
            <family val="2"/>
          </rPr>
          <t xml:space="preserve">
 The Company has restricted cash primarily related to contractual obligations to collateralize its self-insurance program. The restricted cash arrangement can be cancelled by the Company at any time if substituted with letters of credit. The restricted cash balance is classified within other current assets on the Consolidated Balance Sheet. </t>
        </r>
      </text>
    </comment>
    <comment ref="A352" authorId="0" shapeId="0">
      <text>
        <r>
          <rPr>
            <sz val="9"/>
            <color indexed="81"/>
            <rFont val="Tahoma"/>
            <family val="2"/>
          </rPr>
          <t xml:space="preserve">Last disclosed in FY2012 10-K (year ended June 30, 2012)
www.sec.gov/Archives/edgar/data/716643/000104746912008600/0001047469-12-008600-index.htm
</t>
        </r>
      </text>
    </comment>
    <comment ref="G354" authorId="0" shapeId="0">
      <text>
        <r>
          <rPr>
            <b/>
            <sz val="9"/>
            <color indexed="81"/>
            <rFont val="Tahoma"/>
            <family val="2"/>
          </rPr>
          <t>Regis Salons:</t>
        </r>
        <r>
          <rPr>
            <sz val="9"/>
            <color indexed="81"/>
            <rFont val="Tahoma"/>
            <family val="2"/>
          </rPr>
          <t xml:space="preserve">
The average initial capital investment required for a new Regis Salon is approximately $190,000 to $240,000, excluding average opening inventory costs of approximately $22,000. </t>
        </r>
      </text>
    </comment>
    <comment ref="G355" authorId="0" shapeId="0">
      <text>
        <r>
          <rPr>
            <b/>
            <sz val="9"/>
            <color indexed="81"/>
            <rFont val="Tahoma"/>
            <family val="2"/>
          </rPr>
          <t>MasterCuts:</t>
        </r>
        <r>
          <rPr>
            <sz val="9"/>
            <color indexed="81"/>
            <rFont val="Tahoma"/>
            <family val="2"/>
          </rPr>
          <t xml:space="preserve">
 The average initial capital investment required for a new MasterCuts salon is approximately $150,000 to $200,000, excluding average opening inventory costs of approximately $14,300. </t>
        </r>
      </text>
    </comment>
    <comment ref="G356" authorId="0" shapeId="0">
      <text>
        <r>
          <rPr>
            <b/>
            <sz val="9"/>
            <color indexed="81"/>
            <rFont val="Tahoma"/>
            <family val="2"/>
          </rPr>
          <t>SmartStyle:</t>
        </r>
        <r>
          <rPr>
            <sz val="9"/>
            <color indexed="81"/>
            <rFont val="Tahoma"/>
            <family val="2"/>
          </rPr>
          <t xml:space="preserve">
The average initial capital investment required for a new SmartStyle salon is approximately $35,000 to $45,000, excluding average opening inventory costs of approximately $13,100.  </t>
        </r>
      </text>
    </comment>
    <comment ref="G357" authorId="0" shapeId="0">
      <text>
        <r>
          <rPr>
            <b/>
            <sz val="9"/>
            <color indexed="81"/>
            <rFont val="Tahoma"/>
            <family val="2"/>
          </rPr>
          <t>Supercuts:</t>
        </r>
        <r>
          <rPr>
            <sz val="9"/>
            <color indexed="81"/>
            <rFont val="Tahoma"/>
            <family val="2"/>
          </rPr>
          <t xml:space="preserve">
The average initial capital investment required for a new Supercuts salon is approximately $80,000 to $130,000, excluding average opening inventory costs of approximately $8,800. </t>
        </r>
      </text>
    </comment>
    <comment ref="G358" authorId="0" shapeId="0">
      <text>
        <r>
          <rPr>
            <b/>
            <sz val="9"/>
            <color indexed="81"/>
            <rFont val="Tahoma"/>
            <family val="2"/>
          </rPr>
          <t>Promenade:</t>
        </r>
        <r>
          <rPr>
            <sz val="9"/>
            <color indexed="81"/>
            <rFont val="Tahoma"/>
            <family val="2"/>
          </rPr>
          <t xml:space="preserve">
The average initial capital investment required for a new Promenade Salon is approximately $75,000 to $125,000, excluding average opening inventory costs of approximately $9,300. </t>
        </r>
      </text>
    </comment>
    <comment ref="A359" authorId="0" shapeId="0">
      <text>
        <r>
          <rPr>
            <b/>
            <sz val="9"/>
            <color indexed="81"/>
            <rFont val="Tahoma"/>
            <family val="2"/>
          </rPr>
          <t>International Salons:</t>
        </r>
        <r>
          <rPr>
            <sz val="9"/>
            <color indexed="81"/>
            <rFont val="Tahoma"/>
            <family val="2"/>
          </rPr>
          <t xml:space="preserve">
The Company's International salons are comprised of company-owned salons operating in the United Kingdom primarily under the Supercuts, Regis and Sassoon concepts. These salons offer similar levels of service as the North American salons previously mentioned. However,  the initial capital investment required is typically between £110,000 and £130,000 for a Regis salon, and between £60,000 and £80,000 for a Supercuts salon. Average annual salon revenues for a salon which has been open five years or more are approximately £210,000 in a Regis salon and £165,000 in a Supercuts salon. 
Sassoon is one of the world's most recognized names in hair fashion and appeals to women and men looking for a prestigious full service hair salon. Salons are usually located on prominent high-street locations and offer a full range of custom hairstyling, cutting, coloring and waving, as well as professional hair care products. The initial capital investment required is approximately £500,000. Average annual salon revenues for a salon which has been open five years or more is approximately £770,000. </t>
        </r>
      </text>
    </comment>
    <comment ref="G360" authorId="0" shapeId="0">
      <text>
        <r>
          <rPr>
            <b/>
            <sz val="9"/>
            <color indexed="81"/>
            <rFont val="Tahoma"/>
            <family val="2"/>
          </rPr>
          <t xml:space="preserve">Regis:
</t>
        </r>
        <r>
          <rPr>
            <sz val="9"/>
            <color indexed="81"/>
            <rFont val="Tahoma"/>
            <family val="2"/>
          </rPr>
          <t>the initial capital investment required is typically between £110,000 and £130,000 for a Regis salon</t>
        </r>
      </text>
    </comment>
    <comment ref="G361" authorId="0" shapeId="0">
      <text>
        <r>
          <rPr>
            <b/>
            <sz val="9"/>
            <color indexed="81"/>
            <rFont val="Tahoma"/>
            <family val="2"/>
          </rPr>
          <t xml:space="preserve">Supercuts:
</t>
        </r>
        <r>
          <rPr>
            <sz val="9"/>
            <color indexed="81"/>
            <rFont val="Tahoma"/>
            <family val="2"/>
          </rPr>
          <t xml:space="preserve">the initial capital investment required is typically between £60,000 and £80,000 for a Supercuts salon.
</t>
        </r>
      </text>
    </comment>
    <comment ref="G362" authorId="0" shapeId="0">
      <text>
        <r>
          <rPr>
            <b/>
            <sz val="9"/>
            <color indexed="81"/>
            <rFont val="Tahoma"/>
            <family val="2"/>
          </rPr>
          <t>Sassoon:</t>
        </r>
        <r>
          <rPr>
            <sz val="9"/>
            <color indexed="81"/>
            <rFont val="Tahoma"/>
            <family val="2"/>
          </rPr>
          <t xml:space="preserve">
The initial capital investment required is approximately £500,000.</t>
        </r>
      </text>
    </comment>
    <comment ref="A371" authorId="0" shapeId="0">
      <text>
        <r>
          <rPr>
            <b/>
            <sz val="9"/>
            <color indexed="81"/>
            <rFont val="Tahoma"/>
            <family val="2"/>
          </rPr>
          <t>International Salons:</t>
        </r>
        <r>
          <rPr>
            <sz val="9"/>
            <color indexed="81"/>
            <rFont val="Tahoma"/>
            <family val="2"/>
          </rPr>
          <t xml:space="preserve">
The Company's International salons are comprised of company-owned salons operating in the United Kingdom primarily under the Supercuts, Regis and Sassoon concepts. These salons offer similar levels of service as the North American salons previously mentioned. However,  the initial capital investment required is typically between £110,000 and £130,000 for a Regis salon, and between £60,000 and £80,000 for a Supercuts salon. Average annual salon revenues for a salon which has been open five years or more are approximately £210,000 in a Regis salon and £165,000 in a Supercuts salon. 
Sassoon is one of the world's most recognized names in hair fashion and appeals to women and men looking for a prestigious full service hair salon. Salons are usually located on prominent high-street locations and offer a full range of custom hairstyling, cutting, coloring and waving, as well as professional hair care products. The initial capital investment required is approximately £500,000. Average annual salon revenues for a salon which has been open five years or more is approximately £770,000. </t>
        </r>
      </text>
    </comment>
    <comment ref="M396" authorId="1" shapeId="0">
      <text>
        <r>
          <rPr>
            <b/>
            <sz val="9"/>
            <color indexed="81"/>
            <rFont val="Tahoma"/>
            <family val="2"/>
          </rPr>
          <t>Source: 10-Q for quarter ending Dec. 30, 2013</t>
        </r>
        <r>
          <rPr>
            <sz val="9"/>
            <color indexed="81"/>
            <rFont val="Tahoma"/>
            <family val="2"/>
          </rPr>
          <t xml:space="preserve">
Goodwill represents the excess of the purchase price over the fair value of identifiable net assets acquired. Goodwill is tested for impairment annually during the Company’s fourth fiscal quarter or at the time of a triggering event. The fair value of the Regis salon concept reporting unit exceeded its carrying value by approximately 9.0% and the Company's other reporting units exceeded their carrying value by greater than 20.0% as of the fiscal year 2013 annual impairment test. 
During the second quarter of fiscal year 2014, the Company experienced two triggering events that resulted in the Company testing its goodwill for impairment. First, the Company redefined its operating segments to reflect how the chief operating decision maker evaluates the business as a result of restructuring the Company's North American field organization. </t>
        </r>
        <r>
          <rPr>
            <b/>
            <sz val="9"/>
            <color indexed="81"/>
            <rFont val="Tahoma"/>
            <family val="2"/>
          </rPr>
          <t xml:space="preserve">The field reorganization, which impacted all North American salons except for salons in the mass premium category, was announced in the fourth quarter of fiscal year 2013 and completed in the second quarter of fiscal year 2014. </t>
        </r>
        <r>
          <rPr>
            <sz val="9"/>
            <color indexed="81"/>
            <rFont val="Tahoma"/>
            <family val="2"/>
          </rPr>
          <t xml:space="preserve">The Company did not completely operate under the realigned operating structure prior to the second quarter of fiscal year 2014. See Note 11 to the Condensed Consolidated Financial Statements.
Second, the </t>
        </r>
        <r>
          <rPr>
            <b/>
            <sz val="9"/>
            <color indexed="81"/>
            <rFont val="Tahoma"/>
            <family val="2"/>
          </rPr>
          <t>Regis and Promenade salon concepts reported same-store sales of negative 6.4% and 7.0% respectively, during the three months ended December 31, 2013. These results were unfavorable compared to the Company’s projections used in the fiscal year 2013 annual goodwill impairment test.</t>
        </r>
        <r>
          <rPr>
            <sz val="9"/>
            <color indexed="81"/>
            <rFont val="Tahoma"/>
            <family val="2"/>
          </rPr>
          <t xml:space="preserve"> The disruptive impact of strategic initiatives announced in the fourth quarter of fiscal year 2013 on the first two fiscal quarters of 2014 was greater than the Company had anticipated. 
Pursuant to the change in operating segments and the lower than projected same-store sales, the Company </t>
        </r>
        <r>
          <rPr>
            <b/>
            <sz val="9"/>
            <color indexed="81"/>
            <rFont val="Tahoma"/>
            <family val="2"/>
          </rPr>
          <t xml:space="preserve">performed interim goodwill impairment tests on its Regis and Promenade salon concept reporting units. </t>
        </r>
        <r>
          <rPr>
            <sz val="9"/>
            <color indexed="81"/>
            <rFont val="Tahoma"/>
            <family val="2"/>
          </rPr>
          <t xml:space="preserve">The Company updated its projections to reflect the Company’s current expectations for these businesses and compared the carrying value of the respective reporting units, including goodwill, to their estimated fair values. As a result of the interim goodwill impairment tests performed during the three months ended December 31, 2013, </t>
        </r>
        <r>
          <rPr>
            <b/>
            <sz val="9"/>
            <color indexed="81"/>
            <rFont val="Tahoma"/>
            <family val="2"/>
          </rPr>
          <t xml:space="preserve">a $34.9 million non-cash impairment charge was recorded for the excess carrying value of goodwill over the implied fair value of goodwill for the Regis salon concept </t>
        </r>
        <r>
          <rPr>
            <sz val="9"/>
            <color indexed="81"/>
            <rFont val="Tahoma"/>
            <family val="2"/>
          </rPr>
          <t xml:space="preserve">reporting unit. </t>
        </r>
        <r>
          <rPr>
            <b/>
            <sz val="9"/>
            <color indexed="81"/>
            <rFont val="Tahoma"/>
            <family val="2"/>
          </rPr>
          <t xml:space="preserve">The estimated fair value of the Promenade salon concept reporting unit exceeded its carrying value by approximately 12.0% and was not impaired. </t>
        </r>
        <r>
          <rPr>
            <sz val="9"/>
            <color indexed="81"/>
            <rFont val="Tahoma"/>
            <family val="2"/>
          </rPr>
          <t xml:space="preserve">
The Company considered the negative impact of the fourth quarter fiscal year 2013 strategic initiatives on the results of the remaining reporting units for the three and six months ended December 31, 2013 and determined that their fair values were significantly greater than their carrying values at December 31, 2013. Therefore, the Company did not perform interim goodwill impairment tests on these reporting units. </t>
        </r>
      </text>
    </comment>
    <comment ref="M400" authorId="1" shapeId="0">
      <text>
        <r>
          <rPr>
            <b/>
            <sz val="9"/>
            <color indexed="81"/>
            <rFont val="Tahoma"/>
            <family val="2"/>
          </rPr>
          <t>Source: 10-Q</t>
        </r>
        <r>
          <rPr>
            <sz val="9"/>
            <color indexed="81"/>
            <rFont val="Tahoma"/>
            <family val="2"/>
          </rPr>
          <t xml:space="preserve">
The estimated fair value of the Promenade salon concept reporting unit exceeded its carrying value by approximately 12.0% and was not impaired. </t>
        </r>
      </text>
    </comment>
    <comment ref="M405" authorId="1" shapeId="0">
      <text>
        <r>
          <rPr>
            <b/>
            <sz val="9"/>
            <color indexed="81"/>
            <rFont val="Tahoma"/>
            <family val="2"/>
          </rPr>
          <t>douglasb:</t>
        </r>
        <r>
          <rPr>
            <sz val="9"/>
            <color indexed="81"/>
            <rFont val="Tahoma"/>
            <family val="2"/>
          </rPr>
          <t xml:space="preserve">
As a result of the interim goodwill impairment tests performed during the three months ended December 31, 2013, a $34.9 million non-cash impairment charge was recorded for the excess carrying value of goodwill over the implied fair value of goodwill for the Regis salon concept reporting unit.</t>
        </r>
      </text>
    </comment>
    <comment ref="A437" authorId="1" shapeId="0">
      <text>
        <r>
          <rPr>
            <b/>
            <sz val="9"/>
            <color indexed="81"/>
            <rFont val="Tahoma"/>
            <family val="2"/>
          </rPr>
          <t>Source: 2013 10-K</t>
        </r>
        <r>
          <rPr>
            <sz val="9"/>
            <color indexed="81"/>
            <rFont val="Tahoma"/>
            <family val="2"/>
          </rPr>
          <t xml:space="preserve">
Total amortization expense related to amortizable intangible assets during fiscal years 2013, 2012, and 2011 was approximately $1.8, $1.9, and $2.1 million, respectively. As of June 30, 2013, future estimated amortization expense related to amortizable intangible assets is estimated to be: 
</t>
        </r>
        <r>
          <rPr>
            <b/>
            <sz val="9"/>
            <color indexed="81"/>
            <rFont val="Tahoma"/>
            <family val="2"/>
          </rPr>
          <t xml:space="preserve">Fiscal Year  </t>
        </r>
        <r>
          <rPr>
            <sz val="9"/>
            <color indexed="81"/>
            <rFont val="Tahoma"/>
            <family val="2"/>
          </rPr>
          <t xml:space="preserve"> 
</t>
        </r>
        <r>
          <rPr>
            <b/>
            <sz val="9"/>
            <color indexed="81"/>
            <rFont val="Tahoma"/>
            <family val="2"/>
          </rPr>
          <t xml:space="preserve">2014: </t>
        </r>
        <r>
          <rPr>
            <sz val="9"/>
            <color indexed="81"/>
            <rFont val="Tahoma"/>
            <family val="2"/>
          </rPr>
          <t xml:space="preserve">1,714   
</t>
        </r>
        <r>
          <rPr>
            <b/>
            <sz val="9"/>
            <color indexed="81"/>
            <rFont val="Tahoma"/>
            <family val="2"/>
          </rPr>
          <t xml:space="preserve">2015: </t>
        </r>
        <r>
          <rPr>
            <sz val="9"/>
            <color indexed="81"/>
            <rFont val="Tahoma"/>
            <family val="2"/>
          </rPr>
          <t xml:space="preserve">1,703   
</t>
        </r>
        <r>
          <rPr>
            <b/>
            <sz val="9"/>
            <color indexed="81"/>
            <rFont val="Tahoma"/>
            <family val="2"/>
          </rPr>
          <t>2016:</t>
        </r>
        <r>
          <rPr>
            <sz val="9"/>
            <color indexed="81"/>
            <rFont val="Tahoma"/>
            <family val="2"/>
          </rPr>
          <t xml:space="preserve"> 1,640   
</t>
        </r>
        <r>
          <rPr>
            <b/>
            <sz val="9"/>
            <color indexed="81"/>
            <rFont val="Tahoma"/>
            <family val="2"/>
          </rPr>
          <t>2017:</t>
        </r>
        <r>
          <rPr>
            <sz val="9"/>
            <color indexed="81"/>
            <rFont val="Tahoma"/>
            <family val="2"/>
          </rPr>
          <t xml:space="preserve"> 1,589   
</t>
        </r>
        <r>
          <rPr>
            <b/>
            <sz val="9"/>
            <color indexed="81"/>
            <rFont val="Tahoma"/>
            <family val="2"/>
          </rPr>
          <t xml:space="preserve">2018: </t>
        </r>
        <r>
          <rPr>
            <sz val="9"/>
            <color indexed="81"/>
            <rFont val="Tahoma"/>
            <family val="2"/>
          </rPr>
          <t xml:space="preserve">1,577   
</t>
        </r>
        <r>
          <rPr>
            <b/>
            <sz val="9"/>
            <color indexed="81"/>
            <rFont val="Tahoma"/>
            <family val="2"/>
          </rPr>
          <t>Thereafter:</t>
        </r>
        <r>
          <rPr>
            <sz val="9"/>
            <color indexed="81"/>
            <rFont val="Tahoma"/>
            <family val="2"/>
          </rPr>
          <t xml:space="preserve"> 13,273   
</t>
        </r>
        <r>
          <rPr>
            <b/>
            <sz val="9"/>
            <color indexed="81"/>
            <rFont val="Tahoma"/>
            <family val="2"/>
          </rPr>
          <t xml:space="preserve">Total: </t>
        </r>
        <r>
          <rPr>
            <sz val="9"/>
            <color indexed="81"/>
            <rFont val="Tahoma"/>
            <family val="2"/>
          </rPr>
          <t xml:space="preserve">$ 21,496   
</t>
        </r>
      </text>
    </comment>
    <comment ref="A439" authorId="1" shapeId="0">
      <text>
        <r>
          <rPr>
            <b/>
            <sz val="9"/>
            <color indexed="81"/>
            <rFont val="Tahoma"/>
            <family val="2"/>
          </rPr>
          <t>Source: 2013 10-K</t>
        </r>
        <r>
          <rPr>
            <sz val="9"/>
            <color indexed="81"/>
            <rFont val="Tahoma"/>
            <family val="2"/>
          </rPr>
          <t xml:space="preserve">
All intangible assets have been assigned an estimated finite useful life, and are amortized on a straight-line basis over the number of years that approximate their expected period of benefit (ranging from one to 40 years). The weighted average amortization periods, in total and by major intangible asset class, are as follows: </t>
        </r>
      </text>
    </comment>
    <comment ref="K448" authorId="1" shapeId="0">
      <text>
        <r>
          <rPr>
            <b/>
            <sz val="9"/>
            <color indexed="81"/>
            <rFont val="Tahoma"/>
            <family val="2"/>
          </rPr>
          <t>douglasb:</t>
        </r>
        <r>
          <rPr>
            <sz val="9"/>
            <color indexed="81"/>
            <rFont val="Tahoma"/>
            <family val="2"/>
          </rPr>
          <t xml:space="preserve">
As of June 30, 2013 and 2012, the Company's ownership interest in Empire Education Group, Inc. (EEG) was 55.1 percent. EEG operates accredited cosmetology schools and is overseen by the Empire Beauty School management team. The Company accounts for EEG as an equity investment under the voting interest model. 
        During fiscal years 2013 and 2012, the company recorded other than temporary impairment charges on its investment in EEG of $17.9 and $19.4 million, respectively, to reflect the negative business impacts associated with regulatory changes including declines in enrollment, revenue and profitability in the for-profit secondary educational market. The Company did not receive a tax benefit on these impairment charges. The Company did not record an impairment charge during the fiscal year 2011. In addition, during fiscal years 2013 and 2012 the Company recorded its share, $2.1 and $8.7 million, respectively, of fixed and intangible asset impairments recorded directly by EEG. 
        Due to economic, regulatory and other factors, the Company may be required to record additional noncash impairment charges related to its investment in EEG and such noncash impairments could be material to the Company's consolidated balance sheet and results of operations. In addition, EEG may be required to record noncash impairment charges related to long-lived assets and goodwill, and our share of such noncash impairment charges could be material to the Company's consolidated balance sheet and results of operations. The Company's share of EEG's goodwill balances </t>
        </r>
        <r>
          <rPr>
            <b/>
            <sz val="9"/>
            <color indexed="81"/>
            <rFont val="Tahoma"/>
            <family val="2"/>
          </rPr>
          <t>as of June 30, 2013</t>
        </r>
        <r>
          <rPr>
            <sz val="9"/>
            <color indexed="81"/>
            <rFont val="Tahoma"/>
            <family val="2"/>
          </rPr>
          <t xml:space="preserve"> is approximately $16 million. Based on the Company's work associated with the investment impairment recorded during the fiscal year 2013,</t>
        </r>
        <r>
          <rPr>
            <b/>
            <sz val="9"/>
            <color indexed="81"/>
            <rFont val="Tahoma"/>
            <family val="2"/>
          </rPr>
          <t xml:space="preserve"> the Company's estimate of EEG's fair value exceeds carrying value by approximately 5 percent. </t>
        </r>
        <r>
          <rPr>
            <sz val="9"/>
            <color indexed="81"/>
            <rFont val="Tahoma"/>
            <family val="2"/>
          </rPr>
          <t xml:space="preserve">Any meaningful underperformance against plan or reduced outlook by EEG, changes to the carrying value of EEG or further erosion in valuations of the for-profit secondary educational market could lead to a goodwill impairment charge recorded by EEG for which the Company would record 55.1 percent of the impairment given the Company's present ownership. 
        During fiscal years 2013, 2012, and 2011, the Company recorded $1.3, $(4.0), and $5.5 million, respectively, of equity earnings (loss) related to its investment in EEG. 
The Company previously provided EEG with a $15.0 million revolving credit facility and outstanding loan, both of which matured during fiscal year 2013. At June 30, 2012, there was $15.0 and $11.4 million outstanding on the revolving credit facility and loan outstanding, respectively. The Company received $15.0 million in payments on the revolving credit facility during the fiscal year 2013. The Company received $11.4 and $10.0 million in principal payments on the loan during the fiscal years 2013 and 2012, respectively. During fiscal years 2013, 2012, and 2011, the Company recorded less than $0.1, $0.5, and $0.7 million, respectively, of interest income related to the loan and revolving credit facility. 
</t>
        </r>
      </text>
    </comment>
    <comment ref="A462" authorId="0" shapeId="0">
      <text>
        <r>
          <rPr>
            <b/>
            <sz val="9"/>
            <color indexed="81"/>
            <rFont val="Tahoma"/>
            <family val="2"/>
          </rPr>
          <t>June 2013 credit agreement:</t>
        </r>
        <r>
          <rPr>
            <sz val="9"/>
            <color indexed="81"/>
            <rFont val="Tahoma"/>
            <family val="2"/>
          </rPr>
          <t xml:space="preserve">
http://www.sec.gov/Archives/edgar/data/716643/000110465913049448/0001104659-13-049448-index.htm
In June 2013, the Company entered into a Sixth Amended and Restated Credit Agreement (Credit Agreement), which amended and restated in its entirety, the Company's existing Fifth Amended and Restated Credit Agreement that was entered into during fiscal year 2011. The Credit Agreement provides for a $400.0 million unsecured five-year revolving credit facility that expires in June 2018 and includes, among other things, a maximum leverage ratio covenant, a minimum fixed charge coverage ratio covenant, and certain restrictions on liens, liquidity and other indebtedness. 
The Company may request an increase in revolving credit commitments under the facility of up to $200.0 million under certain circumstances. Events of default under the Credit Agreement include a change of control of the Company. We were in compliance with all covenants and other requirements of our credit agreement and senior notes as of June 30, 2013. </t>
        </r>
      </text>
    </comment>
    <comment ref="C467" authorId="0" shapeId="0">
      <text>
        <r>
          <rPr>
            <b/>
            <sz val="9"/>
            <color indexed="81"/>
            <rFont val="Tahoma"/>
            <family val="2"/>
          </rPr>
          <t xml:space="preserve">2013 credit agreement pricing:
</t>
        </r>
        <r>
          <rPr>
            <sz val="9"/>
            <color indexed="81"/>
            <rFont val="Tahoma"/>
            <family val="2"/>
          </rPr>
          <t xml:space="preserve">http://www.sec.gov/Archives/edgar/data/716643/000110465913049448/a13-14835_1ex10d1.htm
</t>
        </r>
        <r>
          <rPr>
            <b/>
            <sz val="9"/>
            <color indexed="81"/>
            <rFont val="Tahoma"/>
            <family val="2"/>
          </rPr>
          <t>Base rate currently equal to prime rate of 3.25%</t>
        </r>
        <r>
          <rPr>
            <sz val="9"/>
            <color indexed="81"/>
            <rFont val="Tahoma"/>
            <family val="2"/>
          </rPr>
          <t xml:space="preserve">
http://www.bankrate.com/rates/interest-rates/prime-rate.aspx
</t>
        </r>
        <r>
          <rPr>
            <b/>
            <sz val="9"/>
            <color indexed="81"/>
            <rFont val="Tahoma"/>
            <family val="2"/>
          </rPr>
          <t xml:space="preserve">Margin added to base rate
</t>
        </r>
        <r>
          <rPr>
            <sz val="9"/>
            <color indexed="81"/>
            <rFont val="Tahoma"/>
            <family val="2"/>
          </rPr>
          <t>25 - 85 bps for North America loans
125 - 185 bps for offshore loans</t>
        </r>
        <r>
          <rPr>
            <b/>
            <sz val="9"/>
            <color indexed="81"/>
            <rFont val="Tahoma"/>
            <family val="2"/>
          </rPr>
          <t xml:space="preserve">
</t>
        </r>
      </text>
    </comment>
    <comment ref="C468" authorId="0" shapeId="0">
      <text>
        <r>
          <rPr>
            <b/>
            <sz val="9"/>
            <color indexed="81"/>
            <rFont val="Tahoma"/>
            <family val="2"/>
          </rPr>
          <t xml:space="preserve">2013 credit agreement pricing:
</t>
        </r>
        <r>
          <rPr>
            <sz val="9"/>
            <color indexed="81"/>
            <rFont val="Tahoma"/>
            <family val="2"/>
          </rPr>
          <t>http://www.sec.gov/Archives/edgar/data/716643/000110465913049448/a13-14835_1ex10d1.htm</t>
        </r>
        <r>
          <rPr>
            <b/>
            <sz val="9"/>
            <color indexed="81"/>
            <rFont val="Tahoma"/>
            <family val="2"/>
          </rPr>
          <t xml:space="preserve">
Annual facility fee on $400m line (regardless of usage)
</t>
        </r>
        <r>
          <rPr>
            <sz val="9"/>
            <color indexed="81"/>
            <rFont val="Tahoma"/>
            <family val="2"/>
          </rPr>
          <t xml:space="preserve">25 - 40 bps
</t>
        </r>
        <r>
          <rPr>
            <b/>
            <sz val="9"/>
            <color indexed="81"/>
            <rFont val="Tahoma"/>
            <family val="2"/>
          </rPr>
          <t>Facility Fees:</t>
        </r>
        <r>
          <rPr>
            <sz val="9"/>
            <color indexed="81"/>
            <rFont val="Tahoma"/>
            <family val="2"/>
          </rPr>
          <t xml:space="preserve">
The Company shall pay to the Administrative Agent for the account of each Lender a facility fee equal to the Applicable Facility Fee Percentage on the average daily amount of such Lender’s Commitment (regardless of usage), computed on a quarterly basis in arrears on the last Business Day of each calendar quarter.  Such facility fee shall accrue from the Effective Date to the Termination Date and shall be due and payable quarterly in arrears on the last Business Day of each calendar quarter, commencing on September 30, 2013,  through the Termination Date, with the final payment to be made on the Termination Date; provided that, in connection with any reduction or termination of Commitments under Section 2.07 or an increase of Commitments under Section 2.17, the accrued facility fee calculated for the period ending on such date shall also be paid on the date of such reduction, termination or increase, with the following quarterly payment being calculated on the basis of the period from such reduction or termination date to such quarterly payment date.  The facility fees provided in this subsection shall accrue at all times after the above-mentioned commencement date, including at any time during which one or more conditions in Article V are not met.</t>
        </r>
      </text>
    </comment>
    <comment ref="A470" authorId="0" shapeId="0">
      <text>
        <r>
          <rPr>
            <b/>
            <sz val="9"/>
            <color indexed="81"/>
            <rFont val="Tahoma"/>
            <family val="2"/>
          </rPr>
          <t>Senior Term Notes</t>
        </r>
        <r>
          <rPr>
            <sz val="9"/>
            <color indexed="81"/>
            <rFont val="Tahoma"/>
            <family val="2"/>
          </rPr>
          <t xml:space="preserve">
In November 2013, the Company issued $120.0 million aggregate principal amount of 5.75% senior notes due December 2017 (Senior Term Notes). Net proceeds from the issuance of the Senior Term Notes were $118.1 million, after underwriting and issuance costs of $1.9 million. Interest on the Senior Term Notes is payable semi-annually in arrears on June 1 and December 1 of each year, beginning on June 1, 2014, at a rate of 5.75% per year. The Senior Term Notes rank equally with the Company’s existing and future unsubordinated unsecured debt. The Senior Term Notes are effectively subordinated to any of the Company’s existing and future secured debt. The Senior Term Notes are unsecured and not guaranteed by any of the Company’s subsidiaries or any third party. 
The Senior Term Notes contain maintenance covenants, including limitations on incurrence of debt, granting of liens, investments, merger or consolidation, certain restricted payments and transactions with affiliates, none of which are more restrictive than those under the Company’s credit facility. </t>
        </r>
      </text>
    </comment>
    <comment ref="A477" authorId="0" shapeId="0">
      <text>
        <r>
          <rPr>
            <b/>
            <sz val="9"/>
            <color indexed="81"/>
            <rFont val="Tahoma"/>
            <family val="2"/>
          </rPr>
          <t>Owner:</t>
        </r>
        <r>
          <rPr>
            <sz val="9"/>
            <color indexed="81"/>
            <rFont val="Tahoma"/>
            <family val="2"/>
          </rPr>
          <t xml:space="preserve">
During June 2013, the Company prepaid $89.3 million of unsecured, fixed rate, senior term notes outstanding under a private shelf agreement. </t>
        </r>
      </text>
    </comment>
    <comment ref="K480" authorId="0" shapeId="0">
      <text>
        <r>
          <rPr>
            <b/>
            <sz val="9"/>
            <color indexed="81"/>
            <rFont val="Tahoma"/>
            <family val="2"/>
          </rPr>
          <t>Owner:</t>
        </r>
        <r>
          <rPr>
            <sz val="9"/>
            <color indexed="81"/>
            <rFont val="Tahoma"/>
            <family val="2"/>
          </rPr>
          <t xml:space="preserve">
During fiscal year 2013, the Company prepaid $89.3 million of unsecured, fixed rate, senior term notes outstanding under a private shelf agreement. As a result of the prepayment, the Company incurred a make-whole payment of $10.6 million that was recorded in interest expense within the Consolidated Statement of Operations. </t>
        </r>
      </text>
    </comment>
    <comment ref="A484" authorId="0" shapeId="0">
      <text>
        <r>
          <rPr>
            <b/>
            <sz val="9"/>
            <color indexed="81"/>
            <rFont val="Tahoma"/>
            <family val="2"/>
          </rPr>
          <t>Owner:</t>
        </r>
        <r>
          <rPr>
            <sz val="9"/>
            <color indexed="81"/>
            <rFont val="Tahoma"/>
            <family val="2"/>
          </rPr>
          <t xml:space="preserve">
Beginning in April 2014, the holders of our convertible senior term notes may convert their notes at their option. The Company has the choice of net-cash settlement, settlement in its own shares or a combination of both. As of June 30, 2013, the notes are convertible at a conversion rate of 65.4357 shares of the Company's common stock per $1,000 principal amount of notes, representing a conversion price of approximately $15.28 per share of the Company's common stock. </t>
        </r>
      </text>
    </comment>
  </commentList>
</comments>
</file>

<file path=xl/comments2.xml><?xml version="1.0" encoding="utf-8"?>
<comments xmlns="http://schemas.openxmlformats.org/spreadsheetml/2006/main">
  <authors>
    <author>DudLess</author>
    <author>Owner</author>
    <author>douglasb</author>
  </authors>
  <commentList>
    <comment ref="H7" authorId="0" shapeId="0">
      <text>
        <r>
          <rPr>
            <sz val="9"/>
            <color indexed="81"/>
            <rFont val="Tahoma"/>
            <family val="2"/>
          </rPr>
          <t>As an RGS shareholder, how much contingent upside would you give away - at insignificant up-front cost - to eliminate the risk of catastrophic loss?
 Would you give 33% of any EBIT increase from the current $0m run-rate to salon-level employees if the pledge to do so properly incentivized salon teams to quickly grow post-rebate EBIT to $100m+?</t>
        </r>
      </text>
    </comment>
    <comment ref="R25" authorId="1" shapeId="0">
      <text>
        <r>
          <rPr>
            <sz val="9"/>
            <color indexed="81"/>
            <rFont val="Tahoma"/>
            <family val="2"/>
          </rPr>
          <t xml:space="preserve">This is the estimated number of additional daily guests it would take each quarter (compared to the previous quarter one year ago) to lift Regis Salon's chainwide EBIT to target
Change this cell to equate forward EBIT to target EBIT
</t>
        </r>
      </text>
    </comment>
    <comment ref="R78" authorId="1" shapeId="0">
      <text>
        <r>
          <rPr>
            <sz val="9"/>
            <color indexed="81"/>
            <rFont val="Tahoma"/>
            <family val="2"/>
          </rPr>
          <t>Regis Salons are open mall hours. Schedules vary with the mall but salons are usually open 11.5-12 hours Monday-Saturday (i.e. 10am-10pm) and 8 hours on Sunday (i.e. 10am-6pm)
Regis Salon locator:
http://www.regissalons.com/SalonLocator/default.asp?selopt=5</t>
        </r>
      </text>
    </comment>
    <comment ref="I106" authorId="2" shapeId="0">
      <text>
        <r>
          <rPr>
            <b/>
            <sz val="9"/>
            <color indexed="81"/>
            <rFont val="Tahoma"/>
            <family val="2"/>
          </rPr>
          <t>FY-2012 10-K</t>
        </r>
        <r>
          <rPr>
            <sz val="9"/>
            <color indexed="81"/>
            <rFont val="Tahoma"/>
            <family val="2"/>
          </rPr>
          <t xml:space="preserve">
https://www.sec.gov/Archives/edgar/data/716643/000104746912008600/a2210831z10-k.htm
The average ticket was approximately $43 and $42 for fiscal years 2012 and 2011, respectively. Regis Salons compete in their existing markets primarily by emphasizing the high quality of the services provided. Included within the Regis Salon concept are various other trade names, including Carlton Hair, Sassoon, Hair by Stewarts, Hair Excitement, and Renee Beauty. </t>
        </r>
      </text>
    </comment>
    <comment ref="N107" authorId="1" shapeId="0">
      <text>
        <r>
          <rPr>
            <b/>
            <sz val="9"/>
            <color indexed="81"/>
            <rFont val="Tahoma"/>
            <family val="2"/>
          </rPr>
          <t>Owner:</t>
        </r>
        <r>
          <rPr>
            <sz val="9"/>
            <color indexed="81"/>
            <rFont val="Tahoma"/>
            <family val="2"/>
          </rPr>
          <t xml:space="preserve">
    Regis Salons.    Regis Salons are primarily mall based, full service salons providing complete hair care and beauty services aimed at moderate to upscale, fashion conscious consumers. The guest mix at Regis Salons is approximately 80 percent women, and both appointments and walk-in guests are common. These salons offer a full range of custom styling, cutting, hair coloring and waving services, as well as professional hair care products. </t>
        </r>
        <r>
          <rPr>
            <b/>
            <sz val="9"/>
            <color indexed="81"/>
            <rFont val="Tahoma"/>
            <family val="2"/>
          </rPr>
          <t>Service revenues represent approximately 81 percent of the concept's total revenues.</t>
        </r>
        <r>
          <rPr>
            <sz val="9"/>
            <color indexed="81"/>
            <rFont val="Tahoma"/>
            <family val="2"/>
          </rPr>
          <t xml:space="preserve"> Regis Salons compete in their existing markets primarily by providing high quality services. Included within the Regis Salon concept are various other trade names, including Carlton Hair, Sassoon, Hair by Stewarts, Hair Excitement, and Renee Beauty. </t>
        </r>
      </text>
    </comment>
    <comment ref="O150" authorId="2" shapeId="0">
      <text>
        <r>
          <rPr>
            <b/>
            <sz val="9"/>
            <color indexed="81"/>
            <rFont val="Tahoma"/>
            <family val="2"/>
          </rPr>
          <t>douglasb:</t>
        </r>
        <r>
          <rPr>
            <sz val="9"/>
            <color indexed="81"/>
            <rFont val="Tahoma"/>
            <family val="2"/>
          </rPr>
          <t xml:space="preserve">
http://www.westacres.com/mall-leasing.php
See leasing plan PDF</t>
        </r>
      </text>
    </comment>
  </commentList>
</comments>
</file>

<file path=xl/comments3.xml><?xml version="1.0" encoding="utf-8"?>
<comments xmlns="http://schemas.openxmlformats.org/spreadsheetml/2006/main">
  <authors>
    <author>Owner</author>
  </authors>
  <commentList>
    <comment ref="C2" authorId="0" shapeId="0">
      <text>
        <r>
          <rPr>
            <sz val="9"/>
            <color indexed="81"/>
            <rFont val="Tahoma"/>
            <family val="2"/>
          </rPr>
          <t>http://fddexchange.com/view-fdd-docs/</t>
        </r>
      </text>
    </comment>
    <comment ref="C91" authorId="0" shapeId="0">
      <text>
        <r>
          <rPr>
            <b/>
            <sz val="9"/>
            <color indexed="81"/>
            <rFont val="Tahoma"/>
            <family val="2"/>
          </rPr>
          <t>Owner:</t>
        </r>
        <r>
          <rPr>
            <sz val="9"/>
            <color indexed="81"/>
            <rFont val="Tahoma"/>
            <family val="2"/>
          </rPr>
          <t xml:space="preserve">
Stylist payroll, manager payroll, receptionist payroll, payroll taxes, health/insurance benefits, vacation/holiday pay, product commissions, workers comp insurance, and employee expense</t>
        </r>
      </text>
    </comment>
    <comment ref="C92" authorId="0" shapeId="0">
      <text>
        <r>
          <rPr>
            <b/>
            <sz val="9"/>
            <color indexed="81"/>
            <rFont val="Tahoma"/>
            <family val="2"/>
          </rPr>
          <t>Owner:</t>
        </r>
        <r>
          <rPr>
            <sz val="9"/>
            <color indexed="81"/>
            <rFont val="Tahoma"/>
            <family val="2"/>
          </rPr>
          <t xml:space="preserve">
Includes rent, common area mainenance charges, real estate taxes</t>
        </r>
      </text>
    </comment>
    <comment ref="C93" authorId="0" shapeId="0">
      <text>
        <r>
          <rPr>
            <b/>
            <sz val="9"/>
            <color indexed="81"/>
            <rFont val="Tahoma"/>
            <family val="2"/>
          </rPr>
          <t>Owner:</t>
        </r>
        <r>
          <rPr>
            <sz val="9"/>
            <color indexed="81"/>
            <rFont val="Tahoma"/>
            <family val="2"/>
          </rPr>
          <t xml:space="preserve">
Cost of products is set to a standard percentage for all Supercuts-owned stores plus freight. Includes the effects of discounting and shrinkage.</t>
        </r>
      </text>
    </comment>
    <comment ref="C94" authorId="0" shapeId="0">
      <text>
        <r>
          <rPr>
            <b/>
            <sz val="9"/>
            <color indexed="81"/>
            <rFont val="Tahoma"/>
            <family val="2"/>
          </rPr>
          <t>Owner:</t>
        </r>
        <r>
          <rPr>
            <sz val="9"/>
            <color indexed="81"/>
            <rFont val="Tahoma"/>
            <family val="2"/>
          </rPr>
          <t xml:space="preserve">
Supercuts-owned salons do not pay any continuing franchise fees. However, this number represents the Continuing Franchise Fee that a franchisee would have paid under the Franchise Agreement, given the noted sales.
</t>
        </r>
      </text>
    </comment>
    <comment ref="C95" authorId="0" shapeId="0">
      <text>
        <r>
          <rPr>
            <b/>
            <sz val="9"/>
            <color indexed="81"/>
            <rFont val="Tahoma"/>
            <family val="2"/>
          </rPr>
          <t>Owner:</t>
        </r>
        <r>
          <rPr>
            <sz val="9"/>
            <color indexed="81"/>
            <rFont val="Tahoma"/>
            <family val="2"/>
          </rPr>
          <t xml:space="preserve">
Includes National Advertising Funds contributions, general advertising, recruitment advertising, and rebates from National Advertising Fund</t>
        </r>
      </text>
    </comment>
    <comment ref="C96" authorId="0" shapeId="0">
      <text>
        <r>
          <rPr>
            <b/>
            <sz val="9"/>
            <color indexed="81"/>
            <rFont val="Tahoma"/>
            <family val="2"/>
          </rPr>
          <t>Owner:</t>
        </r>
        <r>
          <rPr>
            <sz val="9"/>
            <color indexed="81"/>
            <rFont val="Tahoma"/>
            <family val="2"/>
          </rPr>
          <t xml:space="preserve">
Includes Bad Debt, Bank Charges, Cash Over/Short, Charge Card expense, Dues and Subscriptions, Insurance, Inventory Service Expense, Lease Expense, Misc, POS expense, Shop Supplies, Taxes, Training, Travel and Entertainment, Telephone, Utilities, Contract Maintenance, License and Permits, Rapairs and Services, Security Expense. </t>
        </r>
      </text>
    </comment>
    <comment ref="C99" authorId="0" shapeId="0">
      <text>
        <r>
          <rPr>
            <b/>
            <sz val="9"/>
            <color indexed="81"/>
            <rFont val="Tahoma"/>
            <family val="2"/>
          </rPr>
          <t>Operating cash flow</t>
        </r>
        <r>
          <rPr>
            <sz val="9"/>
            <color indexed="81"/>
            <rFont val="Tahoma"/>
            <family val="2"/>
          </rPr>
          <t xml:space="preserve"> is before charging for Administrative Overhead, Finance Charges and other owner expenses</t>
        </r>
      </text>
    </comment>
    <comment ref="C167" authorId="0" shapeId="0">
      <text>
        <r>
          <rPr>
            <b/>
            <sz val="9"/>
            <color indexed="81"/>
            <rFont val="Tahoma"/>
            <family val="2"/>
          </rPr>
          <t>Owner:</t>
        </r>
        <r>
          <rPr>
            <sz val="9"/>
            <color indexed="81"/>
            <rFont val="Tahoma"/>
            <family val="2"/>
          </rPr>
          <t xml:space="preserve">
Stylist payroll, manager payroll, receptionist payroll, payroll taxes, health/insurance benefits, vacation/holiday pay, product commissions, workers comp insurance, and employee expense</t>
        </r>
      </text>
    </comment>
    <comment ref="C168" authorId="0" shapeId="0">
      <text>
        <r>
          <rPr>
            <b/>
            <sz val="9"/>
            <color indexed="81"/>
            <rFont val="Tahoma"/>
            <family val="2"/>
          </rPr>
          <t>Owner:</t>
        </r>
        <r>
          <rPr>
            <sz val="9"/>
            <color indexed="81"/>
            <rFont val="Tahoma"/>
            <family val="2"/>
          </rPr>
          <t xml:space="preserve">
Includes rent, common area mainenance charges, real estate taxes</t>
        </r>
      </text>
    </comment>
    <comment ref="C169" authorId="0" shapeId="0">
      <text>
        <r>
          <rPr>
            <b/>
            <sz val="9"/>
            <color indexed="81"/>
            <rFont val="Tahoma"/>
            <family val="2"/>
          </rPr>
          <t>Owner:</t>
        </r>
        <r>
          <rPr>
            <sz val="9"/>
            <color indexed="81"/>
            <rFont val="Tahoma"/>
            <family val="2"/>
          </rPr>
          <t xml:space="preserve">
Cost of products is set to a standard percentage for all Supercuts-owned stores plus freight. Includes the effects of discounting and shrinkage.</t>
        </r>
      </text>
    </comment>
    <comment ref="C170" authorId="0" shapeId="0">
      <text>
        <r>
          <rPr>
            <b/>
            <sz val="9"/>
            <color indexed="81"/>
            <rFont val="Tahoma"/>
            <family val="2"/>
          </rPr>
          <t>Owner:</t>
        </r>
        <r>
          <rPr>
            <sz val="9"/>
            <color indexed="81"/>
            <rFont val="Tahoma"/>
            <family val="2"/>
          </rPr>
          <t xml:space="preserve">
Supercuts-owned salons do not pay any continuing franchise fees. However, this number represents the Continuing Franchise Fee that a franchisee would have paid under the Franchise Agreement, given the noted sales.
</t>
        </r>
      </text>
    </comment>
    <comment ref="C171" authorId="0" shapeId="0">
      <text>
        <r>
          <rPr>
            <b/>
            <sz val="9"/>
            <color indexed="81"/>
            <rFont val="Tahoma"/>
            <family val="2"/>
          </rPr>
          <t>Owner:</t>
        </r>
        <r>
          <rPr>
            <sz val="9"/>
            <color indexed="81"/>
            <rFont val="Tahoma"/>
            <family val="2"/>
          </rPr>
          <t xml:space="preserve">
Includes National Advertising Funds contributions, general advertising, recruitment advertising, and rebates from National Advertising Fund</t>
        </r>
      </text>
    </comment>
    <comment ref="C172" authorId="0" shapeId="0">
      <text>
        <r>
          <rPr>
            <b/>
            <sz val="9"/>
            <color indexed="81"/>
            <rFont val="Tahoma"/>
            <family val="2"/>
          </rPr>
          <t>Owner:</t>
        </r>
        <r>
          <rPr>
            <sz val="9"/>
            <color indexed="81"/>
            <rFont val="Tahoma"/>
            <family val="2"/>
          </rPr>
          <t xml:space="preserve">
Includes Bad Debt, Bank Charges, Cash Over/Short, Charge Card expense, Dues and Subscriptions, Insurance, Inventory Service Expense, Lease Expense, Misc, POS expense, Shop Supplies, Taxes, Training, Travel and Entertainment, Telephone, Utilities, Contract Maintenance, License and Permits, Rapairs and Services, Security Expense. </t>
        </r>
      </text>
    </comment>
    <comment ref="C175" authorId="0" shapeId="0">
      <text>
        <r>
          <rPr>
            <b/>
            <sz val="9"/>
            <color indexed="81"/>
            <rFont val="Tahoma"/>
            <family val="2"/>
          </rPr>
          <t>Operating cash flow</t>
        </r>
        <r>
          <rPr>
            <sz val="9"/>
            <color indexed="81"/>
            <rFont val="Tahoma"/>
            <family val="2"/>
          </rPr>
          <t xml:space="preserve"> is before charging for Administrative Overhead, Finance Charges and other owner expenses</t>
        </r>
      </text>
    </comment>
    <comment ref="C191" authorId="0" shapeId="0">
      <text>
        <r>
          <rPr>
            <b/>
            <sz val="9"/>
            <color indexed="81"/>
            <rFont val="Tahoma"/>
            <family val="2"/>
          </rPr>
          <t>Owner:</t>
        </r>
        <r>
          <rPr>
            <sz val="9"/>
            <color indexed="81"/>
            <rFont val="Tahoma"/>
            <family val="2"/>
          </rPr>
          <t xml:space="preserve">
Some fixed cost leverage in cost of product sales</t>
        </r>
      </text>
    </comment>
  </commentList>
</comments>
</file>

<file path=xl/sharedStrings.xml><?xml version="1.0" encoding="utf-8"?>
<sst xmlns="http://schemas.openxmlformats.org/spreadsheetml/2006/main" count="49934" uniqueCount="8852">
  <si>
    <t>AggregateType</t>
  </si>
  <si>
    <t>IsAggregate</t>
  </si>
  <si>
    <t>TreeID</t>
  </si>
  <si>
    <t>TreeParentID</t>
  </si>
  <si>
    <t>Parent Holder Id</t>
  </si>
  <si>
    <t>Percent Outstanding</t>
  </si>
  <si>
    <t>Percent of Portfolio</t>
  </si>
  <si>
    <t>Metro Area</t>
  </si>
  <si>
    <t>Ticker</t>
  </si>
  <si>
    <t>Holder Name</t>
  </si>
  <si>
    <t>Portfolio Name</t>
  </si>
  <si>
    <t>Holder Id</t>
  </si>
  <si>
    <t>Portfolio Number</t>
  </si>
  <si>
    <t>Position</t>
  </si>
  <si>
    <t>Position Change</t>
  </si>
  <si>
    <t>Filing Date</t>
  </si>
  <si>
    <t>Filing Source</t>
  </si>
  <si>
    <t>Insider Status</t>
  </si>
  <si>
    <t>Institution Type</t>
  </si>
  <si>
    <t>Country</t>
  </si>
  <si>
    <t>HoldersFilter</t>
  </si>
  <si>
    <t>HolderIDs</t>
  </si>
  <si>
    <t>Setting</t>
  </si>
  <si>
    <t>Value</t>
  </si>
  <si>
    <t>Error: HDSERR001_x000D_
In order to access this data you will need to ensure macros are enabled in Excel.</t>
  </si>
  <si>
    <t>EH894075 Corp</t>
  </si>
  <si>
    <t>STARBOARD VALUE LP</t>
  </si>
  <si>
    <t>13F</t>
  </si>
  <si>
    <t>N-P</t>
  </si>
  <si>
    <t>Hedge Fund Manager</t>
  </si>
  <si>
    <t>New York City/Southern CT/Northern NJ</t>
  </si>
  <si>
    <t>UNITED STATES</t>
  </si>
  <si>
    <t>CAMDEN ASSET MANAGEMENT LP</t>
  </si>
  <si>
    <t>Los Angeles/Pasadena</t>
  </si>
  <si>
    <t>MONUMENTAL LIFE INSURANCE CO</t>
  </si>
  <si>
    <t>MONUMENTAL LIFE INSURANCE COMPANY</t>
  </si>
  <si>
    <t>Sch-D</t>
  </si>
  <si>
    <t>Insurance Company</t>
  </si>
  <si>
    <t>Unclassified</t>
  </si>
  <si>
    <t>NORTHERN TRUST CORPORATION</t>
  </si>
  <si>
    <t>Investment Advisor</t>
  </si>
  <si>
    <t>Chicago</t>
  </si>
  <si>
    <t>NORTHERN TRUST COMPANY</t>
  </si>
  <si>
    <t>NORTHERN FUNDS INCOME EQUITY FUND</t>
  </si>
  <si>
    <t>MF-USA</t>
  </si>
  <si>
    <t>N-C</t>
  </si>
  <si>
    <t>SYMPHONY ASSET MANAGEMENT LLC</t>
  </si>
  <si>
    <t>San Francisco/San Jose</t>
  </si>
  <si>
    <t>JP MORGAN CHASE &amp; CO</t>
  </si>
  <si>
    <t>AQR CAPITAL MANAGEMENT LLC</t>
  </si>
  <si>
    <t>FORUM INVESTMENT ADVISORS LLC</t>
  </si>
  <si>
    <t>Multiple Portfolios</t>
  </si>
  <si>
    <t>MF-AGG</t>
  </si>
  <si>
    <t>FORUM INVESTMENT ADVISORS</t>
  </si>
  <si>
    <t>ABSOLUTE STRATEGIES FUND</t>
  </si>
  <si>
    <t>CAISSE DE DEPOT ET PLACEME</t>
  </si>
  <si>
    <t>CAISSE DE DEPOT ET PLACEMENT DU QUEBEC</t>
  </si>
  <si>
    <t>Montreal</t>
  </si>
  <si>
    <t>CANADA</t>
  </si>
  <si>
    <t>MOHICAN FINANCIAL MGMT LLC</t>
  </si>
  <si>
    <t>MOHICAN FINANCIAL MANAGEMENT LLC</t>
  </si>
  <si>
    <t>HORIZON ASSET MANAGEMENT LLC</t>
  </si>
  <si>
    <t>ADVENT CAPITAL MANAGEMENT</t>
  </si>
  <si>
    <t>HIGHBRIDGE CAPITAL MANAGEMENT</t>
  </si>
  <si>
    <t>HIGHBRIDGE CAPITAL MANAGEMENT LLC</t>
  </si>
  <si>
    <t>BNP PARIBAS ARBITRAGE SA</t>
  </si>
  <si>
    <t>Philadephia</t>
  </si>
  <si>
    <t>BLACKROCK INSTITUTIONAL TRUST</t>
  </si>
  <si>
    <t>BLACKROCK INSTITUTIONAL TRUST COMPANY NA</t>
  </si>
  <si>
    <t>WOLVERINE ASSET MANAGEMENT</t>
  </si>
  <si>
    <t>NOMURA HOLDINGS INC</t>
  </si>
  <si>
    <t>Tokyo</t>
  </si>
  <si>
    <t>JAPAN</t>
  </si>
  <si>
    <t>KINETICS ASSET MANAGEMENT LLC</t>
  </si>
  <si>
    <t>KINETICS MULTI DISCIPLINARY FUND</t>
  </si>
  <si>
    <t>DEUTSCHE BANK AG</t>
  </si>
  <si>
    <t>DEUTSCHE BANK AKTIENGESELLSCHAFT</t>
  </si>
  <si>
    <t>Frankfurt</t>
  </si>
  <si>
    <t>GERMANY</t>
  </si>
  <si>
    <t>MEDICAL PROFESSIONAL MUTUAL INS</t>
  </si>
  <si>
    <t>MEDICAL PROFESSIONAL MUTUAL INSURANCE COMPANY</t>
  </si>
  <si>
    <t>Boston</t>
  </si>
  <si>
    <t>BANK OF NEW YORK MELLON CORP</t>
  </si>
  <si>
    <t>GEODE CAPITAL MANAGEMENT LLC</t>
  </si>
  <si>
    <t>SHENKMAN CAPITAL MANAGEMENT INC</t>
  </si>
  <si>
    <t>CITIGROUP INCORPORATED</t>
  </si>
  <si>
    <t>BANK OF AMERICA CORPORATION</t>
  </si>
  <si>
    <t>BANK OF AMERICA</t>
  </si>
  <si>
    <t>Charlotte</t>
  </si>
  <si>
    <t>POLAR CAPITAL LLP</t>
  </si>
  <si>
    <t>London</t>
  </si>
  <si>
    <t>BRITAIN</t>
  </si>
  <si>
    <t>SUSQUEHANNA INTERNATIONAL GROUP</t>
  </si>
  <si>
    <t>SUSQUEHANNA INTERNATIONAL GROUP LLP</t>
  </si>
  <si>
    <t>PALMER SQUARE CAPITAL MANAGEMENT</t>
  </si>
  <si>
    <t>PALMER SQUARE SSI ALTERNATIVE INCOME FUND</t>
  </si>
  <si>
    <t>PALMER SQUARE ABSOLUTE RETURN FUND</t>
  </si>
  <si>
    <t>Service</t>
  </si>
  <si>
    <t>Product</t>
  </si>
  <si>
    <t>Royalties and fees</t>
  </si>
  <si>
    <t>Total revenue</t>
  </si>
  <si>
    <t>Cost of service</t>
  </si>
  <si>
    <t>Cost of product</t>
  </si>
  <si>
    <t>Site operating expenses</t>
  </si>
  <si>
    <t>General and administrative</t>
  </si>
  <si>
    <t>Rent</t>
  </si>
  <si>
    <t>Depreciation and amortization</t>
  </si>
  <si>
    <t>Total operating expenses</t>
  </si>
  <si>
    <t>Operating income</t>
  </si>
  <si>
    <t>Interest expense</t>
  </si>
  <si>
    <t>Interest income and other, net</t>
  </si>
  <si>
    <t>Income taxes</t>
  </si>
  <si>
    <t>Net income</t>
  </si>
  <si>
    <t>Wtd avg diluted shares</t>
  </si>
  <si>
    <t>EPS</t>
  </si>
  <si>
    <t>Sept. 30, 2012</t>
  </si>
  <si>
    <t>Adj. EBITDA</t>
  </si>
  <si>
    <t>Diff w/ reported</t>
  </si>
  <si>
    <t>Reported Adj. EBITDA</t>
  </si>
  <si>
    <t>Jun. 30, 2013</t>
  </si>
  <si>
    <t>Jun. 30, 2012</t>
  </si>
  <si>
    <t>Mar. 31, 2013</t>
  </si>
  <si>
    <t>Dec. 31, 2012</t>
  </si>
  <si>
    <t>Mar. 31, 2012</t>
  </si>
  <si>
    <t>Dec. 31, 2011</t>
  </si>
  <si>
    <t>Earnings before tax</t>
  </si>
  <si>
    <t>Sept. 30, 2011</t>
  </si>
  <si>
    <t>Equity in income of affiliated companies, NOT</t>
  </si>
  <si>
    <t>Revenue build</t>
  </si>
  <si>
    <t>Regis</t>
  </si>
  <si>
    <t>MasterCuts</t>
  </si>
  <si>
    <t>SmartStyle</t>
  </si>
  <si>
    <t>SuperCuts</t>
  </si>
  <si>
    <t>Promenade</t>
  </si>
  <si>
    <t>International salons</t>
  </si>
  <si>
    <t>Hair restoration centers</t>
  </si>
  <si>
    <t>Consolidated revenues</t>
  </si>
  <si>
    <t>Supercuts</t>
  </si>
  <si>
    <t>Total North American salons</t>
  </si>
  <si>
    <t>Total same-store sales growth</t>
  </si>
  <si>
    <t>Service SSS growth</t>
  </si>
  <si>
    <t>Product SSS growth</t>
  </si>
  <si>
    <t>Total comparable salon sales growth</t>
  </si>
  <si>
    <t>Service comparable salon sales growth</t>
  </si>
  <si>
    <t>Product comparable salon sales growth</t>
  </si>
  <si>
    <t>Total NA salon revenue</t>
  </si>
  <si>
    <t>Assets</t>
  </si>
  <si>
    <t>Current assets:</t>
  </si>
  <si>
    <t>Cash and cash equivalents</t>
  </si>
  <si>
    <t>Receivables, net</t>
  </si>
  <si>
    <t>Inventories</t>
  </si>
  <si>
    <t>Deferred income taxes</t>
  </si>
  <si>
    <t>Income tax receivable</t>
  </si>
  <si>
    <t>Other current assets</t>
  </si>
  <si>
    <t>Current assets held for sale</t>
  </si>
  <si>
    <t>Total current assets</t>
  </si>
  <si>
    <t>Property and equipment, net</t>
  </si>
  <si>
    <t>Goodwill</t>
  </si>
  <si>
    <t>Other intangibles, net</t>
  </si>
  <si>
    <t>Investment in and loans to affiliates</t>
  </si>
  <si>
    <t>Other assets</t>
  </si>
  <si>
    <t>Long-term assets held for sale</t>
  </si>
  <si>
    <t>Total assets</t>
  </si>
  <si>
    <t>Liabilities and shareholders' equity</t>
  </si>
  <si>
    <t>Current liabilities:</t>
  </si>
  <si>
    <t>Long-term debt, current portion</t>
  </si>
  <si>
    <t>Accounts payable</t>
  </si>
  <si>
    <t>Accrued expenses</t>
  </si>
  <si>
    <t>Current liabilities related to assets held for sale</t>
  </si>
  <si>
    <t>Total current liabilities</t>
  </si>
  <si>
    <t>Long-term debt and capital lease obligations</t>
  </si>
  <si>
    <t>Other noncurrent liabilities</t>
  </si>
  <si>
    <t>Long-term liabilities related to assets held for sale</t>
  </si>
  <si>
    <t>Total liabilities</t>
  </si>
  <si>
    <t>Shareholders' equity:</t>
  </si>
  <si>
    <t>Common stock</t>
  </si>
  <si>
    <t>Additional paid-in capital</t>
  </si>
  <si>
    <t>Accumulated other comprehensive income</t>
  </si>
  <si>
    <t>Retained earnings</t>
  </si>
  <si>
    <t>Total shareholders' equity</t>
  </si>
  <si>
    <t>Total liabilities and shareholders' equity</t>
  </si>
  <si>
    <t>North America</t>
  </si>
  <si>
    <t>Regis Salons</t>
  </si>
  <si>
    <t>Open at beginning of period</t>
  </si>
  <si>
    <t>Salons constructed</t>
  </si>
  <si>
    <t>Acquired</t>
  </si>
  <si>
    <t>Franchise buybacks</t>
  </si>
  <si>
    <t>Less relocations</t>
  </si>
  <si>
    <t>Salon openings</t>
  </si>
  <si>
    <t>Conversions</t>
  </si>
  <si>
    <t>Salons sold</t>
  </si>
  <si>
    <t>Salons closed</t>
  </si>
  <si>
    <t>Total, Co. owned Regis</t>
  </si>
  <si>
    <t>Total, Co. owned MasterCuts</t>
  </si>
  <si>
    <t>SmartStyle / Cost Cutters (in Wal-Mart)</t>
  </si>
  <si>
    <t>Total, Co. owned SmartStyle</t>
  </si>
  <si>
    <t>Total, Co. owned SuperCuts</t>
  </si>
  <si>
    <t>Total, Co. owned Promenade</t>
  </si>
  <si>
    <t>International</t>
  </si>
  <si>
    <t>Affiliated joint ventures</t>
  </si>
  <si>
    <t>Total, Co. owned International</t>
  </si>
  <si>
    <t>Totals, Co. owned salons - worldwide</t>
  </si>
  <si>
    <t>Salons sold / affiliated joint ventures</t>
  </si>
  <si>
    <t>Interdivisional reclass</t>
  </si>
  <si>
    <t>Total, franchised SmartStyle / Cost Cutters</t>
  </si>
  <si>
    <t>Salons purchased from RGS</t>
  </si>
  <si>
    <t>Total, franchised SuperCuts</t>
  </si>
  <si>
    <t>Total, franchised Promenade</t>
  </si>
  <si>
    <t>Totals, franchised North America salons</t>
  </si>
  <si>
    <t>Total, franchised NA salons</t>
  </si>
  <si>
    <t>Total system-wide salons</t>
  </si>
  <si>
    <t>Number of company-owned salons, North America</t>
  </si>
  <si>
    <t>Total company-owned salons, North America</t>
  </si>
  <si>
    <t>Avg. company-owned salons, North America</t>
  </si>
  <si>
    <t>Number of franchised salons</t>
  </si>
  <si>
    <t>Total franchise salons</t>
  </si>
  <si>
    <t>Average franchised salons</t>
  </si>
  <si>
    <t>Expense build</t>
  </si>
  <si>
    <t>Cost of service % of revenue</t>
  </si>
  <si>
    <t>YoY growth</t>
  </si>
  <si>
    <t>Estimated service sales % of revenue</t>
  </si>
  <si>
    <t>Projected quarters</t>
  </si>
  <si>
    <t>Projected years</t>
  </si>
  <si>
    <t>Y+1</t>
  </si>
  <si>
    <t>Y+2</t>
  </si>
  <si>
    <t>Y+3</t>
  </si>
  <si>
    <t>Y+4</t>
  </si>
  <si>
    <t>Y+5</t>
  </si>
  <si>
    <t>Q+1</t>
  </si>
  <si>
    <t>Q+2</t>
  </si>
  <si>
    <t>Q+3</t>
  </si>
  <si>
    <t>Q+4</t>
  </si>
  <si>
    <t>Cost of product % of revenue</t>
  </si>
  <si>
    <t>Total company-owned international salons</t>
  </si>
  <si>
    <t>Avg. company-owned international salons</t>
  </si>
  <si>
    <t>Avg. franchised salons</t>
  </si>
  <si>
    <t>Rev per avg salon (excl. franchise fees) - YoY growth</t>
  </si>
  <si>
    <t>Total NA salon revenue (exclude franchise fees)</t>
  </si>
  <si>
    <t>Total NA salon revenue (include franchise fees)</t>
  </si>
  <si>
    <t>Total NA salon rev (exclude franchise fees)</t>
  </si>
  <si>
    <t>Rev per avg salon excluding franchise fees</t>
  </si>
  <si>
    <t>Total fees earned from franchised salons</t>
  </si>
  <si>
    <t>Avg. fees earned per franchised salon</t>
  </si>
  <si>
    <t>Site operating expenses per avg. company salon</t>
  </si>
  <si>
    <t>G&amp;A expense per avg. company salon</t>
  </si>
  <si>
    <t>Rent per avg. company salon</t>
  </si>
  <si>
    <t>D&amp;A expense per avg. company salon</t>
  </si>
  <si>
    <t>Capital expenditures</t>
  </si>
  <si>
    <t>Sassoon</t>
  </si>
  <si>
    <t>Capex per new company salon</t>
  </si>
  <si>
    <t>Total, Co. owned salons - worldwide</t>
  </si>
  <si>
    <t>Goodwill by reporting unit, net</t>
  </si>
  <si>
    <t>Total goodwill, net</t>
  </si>
  <si>
    <t>Accounts receivable days</t>
  </si>
  <si>
    <t>Inventory per company-owned store</t>
  </si>
  <si>
    <t>Prepaids</t>
  </si>
  <si>
    <t>Restricted cash</t>
  </si>
  <si>
    <t>Notes receivable</t>
  </si>
  <si>
    <t>Goodwill impairment</t>
  </si>
  <si>
    <t>Total goodwill impairment</t>
  </si>
  <si>
    <t>Prospective acquisitions</t>
  </si>
  <si>
    <t>Price per acquired franchise salon</t>
  </si>
  <si>
    <t>EV/sales multiple for acquired franchise salons</t>
  </si>
  <si>
    <t>Other acquisitions</t>
  </si>
  <si>
    <t>Property, plant and equipment</t>
  </si>
  <si>
    <t>Land</t>
  </si>
  <si>
    <t>Buildings and improvements</t>
  </si>
  <si>
    <t>Equipment, furniture and leasehold improvements (EFLI)</t>
  </si>
  <si>
    <t>Internal use software</t>
  </si>
  <si>
    <t>EFLI under capital leases</t>
  </si>
  <si>
    <t>Gross property and equipment</t>
  </si>
  <si>
    <t>Less: accumulated depreciation and amortization</t>
  </si>
  <si>
    <t>Less: amortization of EFLI under capital leases</t>
  </si>
  <si>
    <t>Net property and equipment</t>
  </si>
  <si>
    <t>Gross PP&amp;E excluding EFLI under capital lease</t>
  </si>
  <si>
    <t>Annual maintenance capital expenditures ($ millions)</t>
  </si>
  <si>
    <t>Maintenance capex per avg. company-owned salon</t>
  </si>
  <si>
    <t>New company salon capex</t>
  </si>
  <si>
    <t>Total new company salon capex</t>
  </si>
  <si>
    <t>Acquired franchise capex</t>
  </si>
  <si>
    <t>Total acquired franchise capex</t>
  </si>
  <si>
    <t>Acquired franchises</t>
  </si>
  <si>
    <t>Total capital expenditures</t>
  </si>
  <si>
    <t>Maintenance</t>
  </si>
  <si>
    <t>New company-owned salons</t>
  </si>
  <si>
    <t>Other acquisitions capex</t>
  </si>
  <si>
    <t>Sept. 30, 2013</t>
  </si>
  <si>
    <t>Total fees earned from franchised salons (est.)</t>
  </si>
  <si>
    <t>Brand assets and trade names</t>
  </si>
  <si>
    <t>Franchise agreements</t>
  </si>
  <si>
    <t>Lease intangibles</t>
  </si>
  <si>
    <t>Non-compete agreements</t>
  </si>
  <si>
    <t>Other</t>
  </si>
  <si>
    <r>
      <t>International</t>
    </r>
    <r>
      <rPr>
        <sz val="11"/>
        <color theme="1"/>
        <rFont val="Calibri"/>
        <family val="2"/>
        <scheme val="minor"/>
      </rPr>
      <t xml:space="preserve"> (assumes only Supercuts opened)</t>
    </r>
  </si>
  <si>
    <t>Other intangibles, at cost</t>
  </si>
  <si>
    <t>Other intangibles, accumulated amortization</t>
  </si>
  <si>
    <t>Other intangibles, estimated useful life (in years)</t>
  </si>
  <si>
    <t>Total</t>
  </si>
  <si>
    <t>North American Value</t>
  </si>
  <si>
    <t>North American Premium</t>
  </si>
  <si>
    <t>Total goodwill, net (adjusted for segment reclass)</t>
  </si>
  <si>
    <t>Goodwill, net (adjusted for segment reclass)</t>
  </si>
  <si>
    <t>Amortization of other intangibles (company est.)</t>
  </si>
  <si>
    <t>Empire Education Group, Inc.</t>
  </si>
  <si>
    <t>Provalliance</t>
  </si>
  <si>
    <t>MY Style</t>
  </si>
  <si>
    <t>Investment in and loans to affiliates (carrying value)</t>
  </si>
  <si>
    <t>Total investments</t>
  </si>
  <si>
    <t>Equity in income from EEG, NOT</t>
  </si>
  <si>
    <t>Debt schedule</t>
  </si>
  <si>
    <t>Days payable outstanding</t>
  </si>
  <si>
    <t>Accrued expenses % operating expenses</t>
  </si>
  <si>
    <t>BOP debt</t>
  </si>
  <si>
    <t>Issuance</t>
  </si>
  <si>
    <t>Repayment</t>
  </si>
  <si>
    <t>EOP debt</t>
  </si>
  <si>
    <t>Equipment and leasehold notes payable</t>
  </si>
  <si>
    <t>Interest</t>
  </si>
  <si>
    <t>6.7% - 8.5% senior term notes (old)</t>
  </si>
  <si>
    <t>Revolving credit facility maturing XYZ (June 2013 replaces FY2011)</t>
  </si>
  <si>
    <t>Convertible senior notes due July 2014</t>
  </si>
  <si>
    <t>Difference b/w total assets and total L&amp;E</t>
  </si>
  <si>
    <t>Income tax % EBT</t>
  </si>
  <si>
    <t>QoQ share growth</t>
  </si>
  <si>
    <t>Changes in working capital:</t>
  </si>
  <si>
    <t>Cash flow from operations</t>
  </si>
  <si>
    <t>D&amp;A check</t>
  </si>
  <si>
    <t>Change in other assets</t>
  </si>
  <si>
    <t>Cash flow from investing activities</t>
  </si>
  <si>
    <t>Change in debt</t>
  </si>
  <si>
    <t>Change in non-current liabilities</t>
  </si>
  <si>
    <t>Cash flow from financing activity</t>
  </si>
  <si>
    <t>BOP cash</t>
  </si>
  <si>
    <t>Change in cash</t>
  </si>
  <si>
    <t>EOP cash</t>
  </si>
  <si>
    <t>Less: Equity in income of EEG (assume no dividends)</t>
  </si>
  <si>
    <t>Stock</t>
  </si>
  <si>
    <t>Total sales</t>
  </si>
  <si>
    <t>CAKE US</t>
  </si>
  <si>
    <t>CHEESECAKE FACTORY INC/THE</t>
  </si>
  <si>
    <t>CAKE US Equity</t>
  </si>
  <si>
    <t>SCI US</t>
  </si>
  <si>
    <t>SERVICE CORP INTERNATIONAL</t>
  </si>
  <si>
    <t>SCI US Equity</t>
  </si>
  <si>
    <t>REV US</t>
  </si>
  <si>
    <t>REVLON INC-CLASS A</t>
  </si>
  <si>
    <t>REV US Equity</t>
  </si>
  <si>
    <t>PENN US</t>
  </si>
  <si>
    <t>PENN NATIONAL GAMING INC</t>
  </si>
  <si>
    <t>PENN US Equity</t>
  </si>
  <si>
    <t>PNRA US</t>
  </si>
  <si>
    <t>PANERA BREAD COMPANY-CLASS A</t>
  </si>
  <si>
    <t>PNRA US Equity</t>
  </si>
  <si>
    <t>JACK US</t>
  </si>
  <si>
    <t>JACK IN THE BOX INC</t>
  </si>
  <si>
    <t>JACK US Equity</t>
  </si>
  <si>
    <t>HRB US</t>
  </si>
  <si>
    <t>H&amp;R BLOCK INC</t>
  </si>
  <si>
    <t>HRB US Equity</t>
  </si>
  <si>
    <t>GMCR US</t>
  </si>
  <si>
    <t>KEURIG GREEN MOUNTAIN INC</t>
  </si>
  <si>
    <t>GMCR US Equity</t>
  </si>
  <si>
    <t>FRED US</t>
  </si>
  <si>
    <t>FRED'S INC-CLASS A</t>
  </si>
  <si>
    <t>FRED US Equity</t>
  </si>
  <si>
    <t>FOSL US</t>
  </si>
  <si>
    <t>FOSSIL GROUP INC</t>
  </si>
  <si>
    <t>FOSL US Equity</t>
  </si>
  <si>
    <t>DIN US</t>
  </si>
  <si>
    <t>DINEEQUITY INC</t>
  </si>
  <si>
    <t>DIN US Equity</t>
  </si>
  <si>
    <t>CBRL US</t>
  </si>
  <si>
    <t>CRACKER BARREL OLD COUNTRY</t>
  </si>
  <si>
    <t>CBRL US Equity</t>
  </si>
  <si>
    <t>EAT US</t>
  </si>
  <si>
    <t>BRINKER INTERNATIONAL INC</t>
  </si>
  <si>
    <t>EAT US Equity</t>
  </si>
  <si>
    <t>BYD US</t>
  </si>
  <si>
    <t>BOYD GAMING CORP</t>
  </si>
  <si>
    <t>BYD US Equity</t>
  </si>
  <si>
    <t>AAP US</t>
  </si>
  <si>
    <t>ADVANCE AUTO PARTS INC</t>
  </si>
  <si>
    <t>AAP US Equity</t>
  </si>
  <si>
    <t>SBH US</t>
  </si>
  <si>
    <t>SALLY BEAUTY HOLDINGS INC</t>
  </si>
  <si>
    <t>SBH US Equity</t>
  </si>
  <si>
    <t>OUTR US</t>
  </si>
  <si>
    <t>OUTERWALL INC</t>
  </si>
  <si>
    <t>OUTR US Equity</t>
  </si>
  <si>
    <t>ULTA US</t>
  </si>
  <si>
    <t>ULTA SALON COSMETICS &amp; FRAGR</t>
  </si>
  <si>
    <t>ULTA US Equity</t>
  </si>
  <si>
    <t>RGS US</t>
  </si>
  <si>
    <t>REGIS CORP</t>
  </si>
  <si>
    <t>RGS US Equity</t>
  </si>
  <si>
    <t>Min Int LF</t>
  </si>
  <si>
    <t>GM:CY</t>
  </si>
  <si>
    <t>ROIC:CY</t>
  </si>
  <si>
    <t>OPM:CY</t>
  </si>
  <si>
    <t>EV/Sales T12M</t>
  </si>
  <si>
    <t>EV/EBITDA T12M</t>
  </si>
  <si>
    <t>EBITDA T12M</t>
  </si>
  <si>
    <t>CFO T12M</t>
  </si>
  <si>
    <t>Cash LF</t>
  </si>
  <si>
    <t>Tot Debt LF</t>
  </si>
  <si>
    <t>Mkt Cap (USD)</t>
  </si>
  <si>
    <t>Tkr &amp; Exch</t>
  </si>
  <si>
    <t>Name</t>
  </si>
  <si>
    <t>Energy</t>
  </si>
  <si>
    <t xml:space="preserve"> </t>
  </si>
  <si>
    <t>Consumer, Non-cyclical</t>
  </si>
  <si>
    <t>Completed</t>
  </si>
  <si>
    <t>Undisclosed</t>
  </si>
  <si>
    <t>N/A</t>
  </si>
  <si>
    <t>New Environmental Solutions Inc</t>
  </si>
  <si>
    <t>Pacific AgMark</t>
  </si>
  <si>
    <t>M&amp;A</t>
  </si>
  <si>
    <t>Consumer, Cyclical</t>
  </si>
  <si>
    <t>Cash and Debt</t>
  </si>
  <si>
    <t>Penn National Gaming Inc</t>
  </si>
  <si>
    <t>Mandalay Resort Group</t>
  </si>
  <si>
    <t>Eldorado Casino Shreveport Joint Venture</t>
  </si>
  <si>
    <t>Big Lots Canada Inc</t>
  </si>
  <si>
    <t>Management Group</t>
  </si>
  <si>
    <t>Clear Thinking Group Inc</t>
  </si>
  <si>
    <t>Cash</t>
  </si>
  <si>
    <t>Home Express Inc/SC</t>
  </si>
  <si>
    <t>Aaron's Inc</t>
  </si>
  <si>
    <t>25 Rental Purchase Stores</t>
  </si>
  <si>
    <t>Cash and Stock</t>
  </si>
  <si>
    <t>Energy Transfer Partners LP</t>
  </si>
  <si>
    <t>Boland Energy</t>
  </si>
  <si>
    <t>Communications</t>
  </si>
  <si>
    <t>Guidance Channel Inc/The</t>
  </si>
  <si>
    <t>School Specialty Inc/Old</t>
  </si>
  <si>
    <t>Gentilly Racing Corp</t>
  </si>
  <si>
    <t>Churchill Downs Inc</t>
  </si>
  <si>
    <t>Fair Grounds Race Course</t>
  </si>
  <si>
    <t>VCG Holding Corp</t>
  </si>
  <si>
    <t>CCCG Inc/CO</t>
  </si>
  <si>
    <t>Royal Dutch Petroleum Co</t>
  </si>
  <si>
    <t>Alimentation Couche Tard Inc</t>
  </si>
  <si>
    <t>20 Arizona locations</t>
  </si>
  <si>
    <t>Financial</t>
  </si>
  <si>
    <t>CKE Restaurants Inc</t>
  </si>
  <si>
    <t>T-Lodge Acquisition Corp</t>
  </si>
  <si>
    <t>Timber Lodge Steakhouse Inc</t>
  </si>
  <si>
    <t>Wolseley PLC</t>
  </si>
  <si>
    <t>Cline Contract Sales</t>
  </si>
  <si>
    <t>Camco Inc/Canada</t>
  </si>
  <si>
    <t>Cash America International Inc</t>
  </si>
  <si>
    <t>SuperPawn operating assets</t>
  </si>
  <si>
    <t>Popeyes Louisiana Kitchen Inc</t>
  </si>
  <si>
    <t>Roark Capital Group Inc</t>
  </si>
  <si>
    <t>Seattle's Best Coffee International</t>
  </si>
  <si>
    <t>Getty Realty Corp</t>
  </si>
  <si>
    <t>36 convenience stores &amp; retail service stations</t>
  </si>
  <si>
    <t>OSI Restaurant Partners LLC</t>
  </si>
  <si>
    <t>Fleming's Prime Steakhouse and Wine Bar</t>
  </si>
  <si>
    <t>INV</t>
  </si>
  <si>
    <t>Cinnabon International Inc</t>
  </si>
  <si>
    <t>MTR Gaming Group Inc</t>
  </si>
  <si>
    <t>Jackson Trotting Association LLC</t>
  </si>
  <si>
    <t>Group 1 Automotive Inc</t>
  </si>
  <si>
    <t>Hassel Auto Group</t>
  </si>
  <si>
    <t>Berry International Inc</t>
  </si>
  <si>
    <t>Extencia Inc</t>
  </si>
  <si>
    <t>BumperArt.com</t>
  </si>
  <si>
    <t>Sun Capital Partners Inc</t>
  </si>
  <si>
    <t>Rag Shops Inc</t>
  </si>
  <si>
    <t>Sony Corp,Credit Suisse USA Inc (Fund: DLJ Merchant Banking Partners III LP),TPG Capital (...</t>
  </si>
  <si>
    <t>Metro-Goldwyn-Mayer Inc</t>
  </si>
  <si>
    <t>Toys R US Inc/Old</t>
  </si>
  <si>
    <t>Active Media Services Inc</t>
  </si>
  <si>
    <t>Operations Center/NJ</t>
  </si>
  <si>
    <t>AutoNation Inc</t>
  </si>
  <si>
    <t>Schooley Cadillac</t>
  </si>
  <si>
    <t>Rush Enterprises Inc</t>
  </si>
  <si>
    <t>American Truck Source Inc</t>
  </si>
  <si>
    <t>Swander Pace Capital LLC</t>
  </si>
  <si>
    <t>Bruckmann Rosser Sherrill &amp; Co LLC</t>
  </si>
  <si>
    <t>Totes ISOTONER Corp</t>
  </si>
  <si>
    <t>Basic Materials</t>
  </si>
  <si>
    <t>Western Power &amp; Equipment Corp</t>
  </si>
  <si>
    <t>Arizona Pacific Materials LLC</t>
  </si>
  <si>
    <t>Rick's Cabaret International Inc</t>
  </si>
  <si>
    <t>Paradise Club</t>
  </si>
  <si>
    <t>Industrial</t>
  </si>
  <si>
    <t>Spiegel Inc</t>
  </si>
  <si>
    <t>Associated British Ports Holdings PLC</t>
  </si>
  <si>
    <t>PPTYs/VA</t>
  </si>
  <si>
    <t>Galleon Holdings PLC</t>
  </si>
  <si>
    <t>J Christopher Entertainment</t>
  </si>
  <si>
    <t>Paratus Capital Management LLC</t>
  </si>
  <si>
    <t>Cravey Green &amp; Wahlen Inc</t>
  </si>
  <si>
    <t>TruckPro LLC</t>
  </si>
  <si>
    <t>Younger America Inc</t>
  </si>
  <si>
    <t>Media Works Communications</t>
  </si>
  <si>
    <t>Imagin Molecular Corp</t>
  </si>
  <si>
    <t>IMAGIN Diagnostic Centres</t>
  </si>
  <si>
    <t>Fun-4-All Corp</t>
  </si>
  <si>
    <t>Grand Toys International Ltd</t>
  </si>
  <si>
    <t>Crayola Dough line</t>
  </si>
  <si>
    <t>All Energy Corp</t>
  </si>
  <si>
    <t>Fat Katz Music LLC</t>
  </si>
  <si>
    <t>Global Gaming Network Inc</t>
  </si>
  <si>
    <t>70 feature film movie library</t>
  </si>
  <si>
    <t>Debt</t>
  </si>
  <si>
    <t>Bondholders</t>
  </si>
  <si>
    <t>American Restaurant Group Inc</t>
  </si>
  <si>
    <t>Ginsberg Scientific Co</t>
  </si>
  <si>
    <t>Aristotle Corp/The</t>
  </si>
  <si>
    <t>Science product line</t>
  </si>
  <si>
    <t>Montgomery Realty Group Inc</t>
  </si>
  <si>
    <t>Private Investor</t>
  </si>
  <si>
    <t>Orchard Supply Shopping Centre</t>
  </si>
  <si>
    <t>Caesars Entertainment Corp/Old</t>
  </si>
  <si>
    <t>Colony Capital LLC</t>
  </si>
  <si>
    <t>4 Casinos</t>
  </si>
  <si>
    <t>32 cash advance locations</t>
  </si>
  <si>
    <t>Gilmore Brothers Inc</t>
  </si>
  <si>
    <t>Christopher &amp; Banks Corp</t>
  </si>
  <si>
    <t>Acorn Stores</t>
  </si>
  <si>
    <t>Carefree Group Inc</t>
  </si>
  <si>
    <t>Coffee Gourmet Inc/The</t>
  </si>
  <si>
    <t>NowAuto Inc</t>
  </si>
  <si>
    <t>Two auto dealer lots</t>
  </si>
  <si>
    <t>Kohlberg &amp; Co LLC</t>
  </si>
  <si>
    <t>Ponderosa RV Resort</t>
  </si>
  <si>
    <t>Eagle Pack Pet Foods Inc</t>
  </si>
  <si>
    <t>Sydran Group LLC</t>
  </si>
  <si>
    <t>Strategic Restaurants Acquisition Corp</t>
  </si>
  <si>
    <t>Burger King restaurants</t>
  </si>
  <si>
    <t>Vestin Group Inc</t>
  </si>
  <si>
    <t>Station Casinos Inc</t>
  </si>
  <si>
    <t>Castaways</t>
  </si>
  <si>
    <t>Nebraska Book Co Inc</t>
  </si>
  <si>
    <t>Several college bookstores</t>
  </si>
  <si>
    <t>Barnes &amp; Noble Inc</t>
  </si>
  <si>
    <t>Shareholders</t>
  </si>
  <si>
    <t>GameStop Corp</t>
  </si>
  <si>
    <t>SPIN</t>
  </si>
  <si>
    <t>BUY</t>
  </si>
  <si>
    <t>Diversified</t>
  </si>
  <si>
    <t>IAHL Corp</t>
  </si>
  <si>
    <t>Sanibel Restaurant Group Inc/The</t>
  </si>
  <si>
    <t>L Brands Inc</t>
  </si>
  <si>
    <t>Einstein Noah Restaurant Group Inc</t>
  </si>
  <si>
    <t>B&amp;B Ventures</t>
  </si>
  <si>
    <t>Willoughby's Coffee &amp; Tea business</t>
  </si>
  <si>
    <t>GospoCentric Records LLC</t>
  </si>
  <si>
    <t>Sony BMG</t>
  </si>
  <si>
    <t>Intellectual Ppty &amp; Assets</t>
  </si>
  <si>
    <t>Saunders Karp &amp; Megrue LP</t>
  </si>
  <si>
    <t>PA Acquisition Corp</t>
  </si>
  <si>
    <t>Party Concepts Inc</t>
  </si>
  <si>
    <t>Zomba Label Group</t>
  </si>
  <si>
    <t>Unnamed Buyer,Sierra Ventures Management LLC (Fund: Sierra Ventures VIII LP)</t>
  </si>
  <si>
    <t>NewZoom Inc</t>
  </si>
  <si>
    <t>NX Capital Co</t>
  </si>
  <si>
    <t>Y-Tel International LLC</t>
  </si>
  <si>
    <t>Fender Musical Instruments Corp</t>
  </si>
  <si>
    <t>Tacoma Guitars</t>
  </si>
  <si>
    <t>Trenton Propane</t>
  </si>
  <si>
    <t>Petro America Corp</t>
  </si>
  <si>
    <t>American Southwest Music Distribution Inc/Old</t>
  </si>
  <si>
    <t>Experian Finance PLC</t>
  </si>
  <si>
    <t>Experian Consumer Research</t>
  </si>
  <si>
    <t>Video Services Inc</t>
  </si>
  <si>
    <t>Hartcourt Cos Inc</t>
  </si>
  <si>
    <t>Sancon Resources Recovery Inc</t>
  </si>
  <si>
    <t>Real Mex Restaurants Inc</t>
  </si>
  <si>
    <t>Chevys Inc</t>
  </si>
  <si>
    <t>Walt Disney Co/The</t>
  </si>
  <si>
    <t>Children's Place Retail Stores Inc/The</t>
  </si>
  <si>
    <t>North American Retail Chain</t>
  </si>
  <si>
    <t>Westar Capital LLC</t>
  </si>
  <si>
    <t>Liberty Interactive LLC</t>
  </si>
  <si>
    <t>Cinetech Inc</t>
  </si>
  <si>
    <t>ENPAT Inc</t>
  </si>
  <si>
    <t>SHFL Entertainment Inc</t>
  </si>
  <si>
    <t>2 Patents</t>
  </si>
  <si>
    <t>Arena Brands Inc</t>
  </si>
  <si>
    <t>Thompson Street Capital Partners</t>
  </si>
  <si>
    <t>Montana Silversmiths Inc</t>
  </si>
  <si>
    <t>Hancock Park Associates LLP</t>
  </si>
  <si>
    <t>Gordon Biersch Brewing Co</t>
  </si>
  <si>
    <t>eMax Holdings Corp</t>
  </si>
  <si>
    <t>Entertainment Group/The</t>
  </si>
  <si>
    <t>Madison Marquette Property Investments LLC</t>
  </si>
  <si>
    <t>54 Property portfolio</t>
  </si>
  <si>
    <t>HEB Grocery Co LP</t>
  </si>
  <si>
    <t>Natardus-Davis Pharmacy</t>
  </si>
  <si>
    <t>Crescent Capital Investments Inc</t>
  </si>
  <si>
    <t>Church's Fried Chicken Inc</t>
  </si>
  <si>
    <t>Paradigm Talent &amp; Literary Agency</t>
  </si>
  <si>
    <t>Monterey Peninsula Artists</t>
  </si>
  <si>
    <t>Argosy Gaming Co</t>
  </si>
  <si>
    <t>Lithia Motors Inc</t>
  </si>
  <si>
    <t>Horace Dodge Chrysler Jeep</t>
  </si>
  <si>
    <t>Haz Holdings Inc</t>
  </si>
  <si>
    <t>Nazz Productions Inc</t>
  </si>
  <si>
    <t>RadioShack Corp</t>
  </si>
  <si>
    <t>eLinear Inc</t>
  </si>
  <si>
    <t>TanSeco Systems Inc</t>
  </si>
  <si>
    <t>Technology</t>
  </si>
  <si>
    <t>Cash Technologies Inc</t>
  </si>
  <si>
    <t>Tomco Auto Products Inc</t>
  </si>
  <si>
    <t>Argan Inc</t>
  </si>
  <si>
    <t>Vitamin Research Products Inc</t>
  </si>
  <si>
    <t>Vertical Health Solutions Inc</t>
  </si>
  <si>
    <t>T&amp;L Pharmacies Inc</t>
  </si>
  <si>
    <t xml:space="preserve">             N.A.</t>
  </si>
  <si>
    <t>HDOS Enterprises</t>
  </si>
  <si>
    <t>Ultimate Franchise Systems Inc</t>
  </si>
  <si>
    <t>Juicy Lucy's Inc</t>
  </si>
  <si>
    <t>Dover Downs Gaming &amp; Entertainment Inc</t>
  </si>
  <si>
    <t>Watermill Ventures Ltd</t>
  </si>
  <si>
    <t>Strober Organization Inc</t>
  </si>
  <si>
    <t>19 Moore's Lumber &amp; Building Supplies locations</t>
  </si>
  <si>
    <t>Smart SMS Corp</t>
  </si>
  <si>
    <t>GoBig! Entertainment Inc</t>
  </si>
  <si>
    <t>CH James &amp; Co</t>
  </si>
  <si>
    <t>37 Burger King restaurants</t>
  </si>
  <si>
    <t>Neiman Marcus Group LLC/The</t>
  </si>
  <si>
    <t>JH Partners LLC</t>
  </si>
  <si>
    <t>Chef's Catalog Inc</t>
  </si>
  <si>
    <t>Creditors</t>
  </si>
  <si>
    <t>Cornerstone Propane Partners LP</t>
  </si>
  <si>
    <t>Day Spas of America Inc</t>
  </si>
  <si>
    <t>Commercial building/FL</t>
  </si>
  <si>
    <t>Biglari Holdings Inc</t>
  </si>
  <si>
    <t>Kelley Restaurants Inc</t>
  </si>
  <si>
    <t>Winn-Dixie Stores Inc/Old</t>
  </si>
  <si>
    <t>Delhaize Group SA</t>
  </si>
  <si>
    <t>10 Winn-Dixie stores</t>
  </si>
  <si>
    <t>Tracker Marine LLC</t>
  </si>
  <si>
    <t>Travis Boats &amp; Motors Inc</t>
  </si>
  <si>
    <t>Lernerville Speedway Inc</t>
  </si>
  <si>
    <t>World Racing Group Inc</t>
  </si>
  <si>
    <t>Lernerville Speedway</t>
  </si>
  <si>
    <t>Dreamworks SKG</t>
  </si>
  <si>
    <t>JDS Capital Management Inc</t>
  </si>
  <si>
    <t>Music Publishing assets</t>
  </si>
  <si>
    <t>Jones Group Inc/PA</t>
  </si>
  <si>
    <t>Barneys New York Inc</t>
  </si>
  <si>
    <t>Concord Associates LP</t>
  </si>
  <si>
    <t>Empire Resorts Inc</t>
  </si>
  <si>
    <t>Resort Hotels and Golf Courses</t>
  </si>
  <si>
    <t>Breuners Home Furnishings Corp</t>
  </si>
  <si>
    <t>Levitz Furniture Inc</t>
  </si>
  <si>
    <t>Store leases</t>
  </si>
  <si>
    <t>EdgeStone Capital Partners LP</t>
  </si>
  <si>
    <t>Regis Corp</t>
  </si>
  <si>
    <t>Hair Club for Men and Women</t>
  </si>
  <si>
    <t>Groves Gas Service</t>
  </si>
  <si>
    <t>Crestwood Equity Partners LP</t>
  </si>
  <si>
    <t>Moulton Gas Service Inc</t>
  </si>
  <si>
    <t>Propane assets</t>
  </si>
  <si>
    <t>New Faces of Brandon Inc</t>
  </si>
  <si>
    <t>President Casinos Inc</t>
  </si>
  <si>
    <t>Broadwater Properties LLC</t>
  </si>
  <si>
    <t>Biloxi MS ppty</t>
  </si>
  <si>
    <t>Summit Dodge</t>
  </si>
  <si>
    <t>Snow King Interests LLC</t>
  </si>
  <si>
    <t>Western Standard Corp</t>
  </si>
  <si>
    <t>Trimaran Capital Partners</t>
  </si>
  <si>
    <t>Fortunoff Department Stores</t>
  </si>
  <si>
    <t>Brantley Capital Corp</t>
  </si>
  <si>
    <t>Unnamed Buyer</t>
  </si>
  <si>
    <t>Fitness Quest Inc</t>
  </si>
  <si>
    <t>Cash or Stock</t>
  </si>
  <si>
    <t>Sears Holdings Corp</t>
  </si>
  <si>
    <t>Sears Roebuck and Co</t>
  </si>
  <si>
    <t>Dick Blick Holdings Inc</t>
  </si>
  <si>
    <t>IAC/InterActiveCorp</t>
  </si>
  <si>
    <t>Alsto</t>
  </si>
  <si>
    <t>Ares Management LLC</t>
  </si>
  <si>
    <t>Marietta Corp</t>
  </si>
  <si>
    <t>American Retail Group Inc/Old</t>
  </si>
  <si>
    <t>Ascena Retail Group Inc</t>
  </si>
  <si>
    <t>Maurices Inc</t>
  </si>
  <si>
    <t>Destination XL Group Inc</t>
  </si>
  <si>
    <t>Hub Holding Corp</t>
  </si>
  <si>
    <t>32 Levi's &amp; Dockers outlets</t>
  </si>
  <si>
    <t>Star Gas Partners LP</t>
  </si>
  <si>
    <t>Star Gas Propane LP</t>
  </si>
  <si>
    <t>Source Interlink Cos Inc</t>
  </si>
  <si>
    <t>Alliance Entertainment Corp</t>
  </si>
  <si>
    <t>Movie Gallery Inc/Old</t>
  </si>
  <si>
    <t>Hollywood Entertainment Corp</t>
  </si>
  <si>
    <t>Van Houtte Inc</t>
  </si>
  <si>
    <t>Unnamed Target</t>
  </si>
  <si>
    <t>BMR-Raleigh Restaurants LLC</t>
  </si>
  <si>
    <t>Fox &amp; Hound Restaurant Group</t>
  </si>
  <si>
    <t>Restaurant assets/NC</t>
  </si>
  <si>
    <t>Stock &amp; Debt</t>
  </si>
  <si>
    <t>Tyree Organization/The</t>
  </si>
  <si>
    <t>Suncast Solar Energy Inc</t>
  </si>
  <si>
    <t>Environmental Testing Labs Inc</t>
  </si>
  <si>
    <t>Grand Entertainment &amp; Music Inc</t>
  </si>
  <si>
    <t>Mint Music</t>
  </si>
  <si>
    <t>American Eagle Outfitters Inc</t>
  </si>
  <si>
    <t>Bluenotes business</t>
  </si>
  <si>
    <t>United Bullion Exchange Inc</t>
  </si>
  <si>
    <t>World Wide Cafe Inc</t>
  </si>
  <si>
    <t>Star Entertainment Group Inc/Nevada</t>
  </si>
  <si>
    <t>Jupiter Global Holdings Corp</t>
  </si>
  <si>
    <t>VoxBox Telecom Inc</t>
  </si>
  <si>
    <t>Shamrock Holdings Inc</t>
  </si>
  <si>
    <t>Unnamed Buyer(s)</t>
  </si>
  <si>
    <t>Manhattan Beach Studios</t>
  </si>
  <si>
    <t>Bain Capital Partners LLC</t>
  </si>
  <si>
    <t>Dollarama Group LP</t>
  </si>
  <si>
    <t>BSN SPORTS Inc</t>
  </si>
  <si>
    <t>Orlando Team Sports</t>
  </si>
  <si>
    <t>TSG Consumer Partners LLC</t>
  </si>
  <si>
    <t>PureOlogy Research LLC</t>
  </si>
  <si>
    <t>Parks! America Inc</t>
  </si>
  <si>
    <t>Wild Animal Safari Inc</t>
  </si>
  <si>
    <t>AmerisourceBergen Corp</t>
  </si>
  <si>
    <t>BMK Inc</t>
  </si>
  <si>
    <t>Rita Ann Distributors</t>
  </si>
  <si>
    <t>Young Innovations Inc</t>
  </si>
  <si>
    <t>Retail division</t>
  </si>
  <si>
    <t>Advanced Solutions &amp; Technologies Inc</t>
  </si>
  <si>
    <t>Allied Energy Corp/NY</t>
  </si>
  <si>
    <t>ItsFun.com</t>
  </si>
  <si>
    <t>Rhodes Inc</t>
  </si>
  <si>
    <t>Various stores &amp; warehouses</t>
  </si>
  <si>
    <t>Concord Music Group Inc</t>
  </si>
  <si>
    <t>Fantasy Inc</t>
  </si>
  <si>
    <t>Harvest Partners LLC</t>
  </si>
  <si>
    <t>Levlad Inc</t>
  </si>
  <si>
    <t>International Building Technologies Group Inc</t>
  </si>
  <si>
    <t>Scalecars Ltd</t>
  </si>
  <si>
    <t>Thomas H Lee Partners LP</t>
  </si>
  <si>
    <t>Consortium</t>
  </si>
  <si>
    <t>Visionworks of America Inc</t>
  </si>
  <si>
    <t>Scrip Advantage Inc</t>
  </si>
  <si>
    <t>Scrip Advantage Inc/Old</t>
  </si>
  <si>
    <t>FelCor Lodging Trust Inc</t>
  </si>
  <si>
    <t>Pinnacle Entertainment Inc</t>
  </si>
  <si>
    <t>Embassy Suites Hotel/St Louis</t>
  </si>
  <si>
    <t>Brynwood Partners LP</t>
  </si>
  <si>
    <t>Metro Door Inc</t>
  </si>
  <si>
    <t>Asbury Automotive Group Inc</t>
  </si>
  <si>
    <t>Rodeo Nissan</t>
  </si>
  <si>
    <t>Pick-Vanoff Co</t>
  </si>
  <si>
    <t>GI Partners LLC</t>
  </si>
  <si>
    <t>Sunset Gower Studios</t>
  </si>
  <si>
    <t>AM-CH Inc</t>
  </si>
  <si>
    <t>A&amp;M Acquisition LLC</t>
  </si>
  <si>
    <t>Angelo &amp; Maxie's steakhouse/NYC</t>
  </si>
  <si>
    <t>Fulton Motor Cars Inc</t>
  </si>
  <si>
    <t>Nalley Chevrolet/Atlanta</t>
  </si>
  <si>
    <t>Dorset Capital Management LLC,Castanea Partners (Fund: Castanea Partners Fund II LP)</t>
  </si>
  <si>
    <t>Hanna Andersson Corp</t>
  </si>
  <si>
    <t>United Midwestern Promoters Motorsports LLC</t>
  </si>
  <si>
    <t>Seagram Co Ltd</t>
  </si>
  <si>
    <t>Roc-A-Fella Records</t>
  </si>
  <si>
    <t>Vail Resorts Inc</t>
  </si>
  <si>
    <t>Joint Venture</t>
  </si>
  <si>
    <t>Ritz-Carlton/Bachelor Gulch</t>
  </si>
  <si>
    <t>Blackstone Group LP</t>
  </si>
  <si>
    <t>Hyatt Corp</t>
  </si>
  <si>
    <t>AmeriSuites hotel chain</t>
  </si>
  <si>
    <t>LDB Corp</t>
  </si>
  <si>
    <t>Blue Sage Capital LP</t>
  </si>
  <si>
    <t>Mr. Gatti's Inc</t>
  </si>
  <si>
    <t>Lucid Entertainment Inc</t>
  </si>
  <si>
    <t>Two nightclubs &amp; one restaurant</t>
  </si>
  <si>
    <t>Warner Music Group/Old</t>
  </si>
  <si>
    <t>Alfred Publishing Co Inc</t>
  </si>
  <si>
    <t>Warner Bros Publications</t>
  </si>
  <si>
    <t>Orbit Drop Inc</t>
  </si>
  <si>
    <t>Orbit Drop Inc/Old</t>
  </si>
  <si>
    <t>Jordan Kane Floor Coverings Inc</t>
  </si>
  <si>
    <t>RJ Flooring Systems</t>
  </si>
  <si>
    <t>Mid-America Racing Series</t>
  </si>
  <si>
    <t>Cash, Stock &amp; Debt</t>
  </si>
  <si>
    <t>Patient Portal Technologies Inc</t>
  </si>
  <si>
    <t>Mosaic Nutriceuticals Corp</t>
  </si>
  <si>
    <t>Caribbean Pacific skincare line</t>
  </si>
  <si>
    <t>All American Plazas Inc</t>
  </si>
  <si>
    <t>Able Energy Inc</t>
  </si>
  <si>
    <t>Hacienda Mexican Restaurants</t>
  </si>
  <si>
    <t>BW Insurance Agency Inc</t>
  </si>
  <si>
    <t>Affirmative Insurance Holdings Inc</t>
  </si>
  <si>
    <t>Assets of 10 retail stores</t>
  </si>
  <si>
    <t>Northwest Propane Inc</t>
  </si>
  <si>
    <t>Federated National Holding Co</t>
  </si>
  <si>
    <t>Retail agency and franchise operations</t>
  </si>
  <si>
    <t>Design Marketing Concepts Inc</t>
  </si>
  <si>
    <t>Casino/MS</t>
  </si>
  <si>
    <t>Cinedigm Corp</t>
  </si>
  <si>
    <t>Pavilion Movie Theater</t>
  </si>
  <si>
    <t>Marshall Holdings International Inc</t>
  </si>
  <si>
    <t>Los Cabos Beverage</t>
  </si>
  <si>
    <t>Dim Vastgoed NV</t>
  </si>
  <si>
    <t>Shopping centre/Alabama</t>
  </si>
  <si>
    <t>Jack in the Box Inc</t>
  </si>
  <si>
    <t>3 Restaurants</t>
  </si>
  <si>
    <t>Car dealership/Southwestern US</t>
  </si>
  <si>
    <t>Catterton Partners</t>
  </si>
  <si>
    <t>First Watch Restaurants Inc</t>
  </si>
  <si>
    <t>Goldman Sachs Capital Partners</t>
  </si>
  <si>
    <t>NBC Acquisition Corp</t>
  </si>
  <si>
    <t>Apple American Group LLC</t>
  </si>
  <si>
    <t>3 Cosmetology schools</t>
  </si>
  <si>
    <t>Cavaliers/Gund Arena Co</t>
  </si>
  <si>
    <t>Cleveland Cavaliers</t>
  </si>
  <si>
    <t>InMotion Pictures</t>
  </si>
  <si>
    <t>Altitunes LLP</t>
  </si>
  <si>
    <t>Alberto-Culver Co</t>
  </si>
  <si>
    <t>CosmoProf</t>
  </si>
  <si>
    <t>Management Group,Grotech Ventures,Charlesbank Capital Partners LLC (Fund: Charlesbank Equi...</t>
  </si>
  <si>
    <t>Captain D's Inc</t>
  </si>
  <si>
    <t>Vehicle Recycling Solutions LLC</t>
  </si>
  <si>
    <t>Schnitzer Steel Industries Inc</t>
  </si>
  <si>
    <t>4 self service stores</t>
  </si>
  <si>
    <t>Management Group,Charlesbank Capital Partners LLC,Grotech Ventures</t>
  </si>
  <si>
    <t>Captain D's LLC</t>
  </si>
  <si>
    <t>Medical Makeover Corp of America</t>
  </si>
  <si>
    <t>Garden of Eden Skin Care Inc</t>
  </si>
  <si>
    <t>Allion Healthcare Inc</t>
  </si>
  <si>
    <t>North American Home Health Supply Inc</t>
  </si>
  <si>
    <t>TA Associates Inc</t>
  </si>
  <si>
    <t>Lumber Liquidators Holdings Inc</t>
  </si>
  <si>
    <t>Olympus Partners</t>
  </si>
  <si>
    <t>K-Mac Enterprises Inc</t>
  </si>
  <si>
    <t>Home Depot Inc/The</t>
  </si>
  <si>
    <t>Litemor Distributors</t>
  </si>
  <si>
    <t>Frederic Fekkai &amp; Co LLC</t>
  </si>
  <si>
    <t>International Game Technology</t>
  </si>
  <si>
    <t>Hi-Tech Gaming</t>
  </si>
  <si>
    <t>4116381 Canada Inc</t>
  </si>
  <si>
    <t>Rainbow Bridge Publishing Co</t>
  </si>
  <si>
    <t>EMAX Alive Inc</t>
  </si>
  <si>
    <t>Ames Merchandising Corp</t>
  </si>
  <si>
    <t>Ashley Furniture Industries Inc</t>
  </si>
  <si>
    <t>Ames Merchandising Facility</t>
  </si>
  <si>
    <t>General Electric Co</t>
  </si>
  <si>
    <t>Sears Canada Inc</t>
  </si>
  <si>
    <t>Cantrex Group Inc</t>
  </si>
  <si>
    <t>Quadrangle Group LLC</t>
  </si>
  <si>
    <t>Cinemark Inc</t>
  </si>
  <si>
    <t>Finish Line Inc/The</t>
  </si>
  <si>
    <t>Hang Up Shoppes Inc/The</t>
  </si>
  <si>
    <t>Moving Records</t>
  </si>
  <si>
    <t>Immediatek Inc</t>
  </si>
  <si>
    <t>Assets and personnel</t>
  </si>
  <si>
    <t>Henderson Holdings Inc</t>
  </si>
  <si>
    <t>Monro Muffler Brake Inc</t>
  </si>
  <si>
    <t>10 retail tire stores</t>
  </si>
  <si>
    <t>Barton Capital LLC</t>
  </si>
  <si>
    <t>Diamond Resorts Corp</t>
  </si>
  <si>
    <t>mortgage portfolio</t>
  </si>
  <si>
    <t>Ultimate Electronics Inc</t>
  </si>
  <si>
    <t>Mark Wattles Enterprises LLC</t>
  </si>
  <si>
    <t>Premier Development &amp; Investment Inc</t>
  </si>
  <si>
    <t>Coconut Grove Group Ltd</t>
  </si>
  <si>
    <t>Centre Partners Management LLC</t>
  </si>
  <si>
    <t>Uno Restaurant Corp</t>
  </si>
  <si>
    <t>North America Coffee Co</t>
  </si>
  <si>
    <t>Wisconsin Glacier Springs</t>
  </si>
  <si>
    <t>Canar Coffee</t>
  </si>
  <si>
    <t>Wallingford Coffee Mills Inc</t>
  </si>
  <si>
    <t>Coffee service route</t>
  </si>
  <si>
    <t>Werner Bros</t>
  </si>
  <si>
    <t>Coffee services division</t>
  </si>
  <si>
    <t>Executive Coffee</t>
  </si>
  <si>
    <t>Delaware Valley Franchise</t>
  </si>
  <si>
    <t>Promostaffing.com LLC</t>
  </si>
  <si>
    <t>Copart Inc</t>
  </si>
  <si>
    <t>Salvage facility</t>
  </si>
  <si>
    <t>Car dealership</t>
  </si>
  <si>
    <t>Castle Harlan Inc</t>
  </si>
  <si>
    <t>Charlie Brown's Inc</t>
  </si>
  <si>
    <t>Multiple salon and 6 beauty schools</t>
  </si>
  <si>
    <t>CSK Auto Corp</t>
  </si>
  <si>
    <t>Mobile Productivity Inc</t>
  </si>
  <si>
    <t>Automotive Information Systems Inc</t>
  </si>
  <si>
    <t>Global Brand Marketing Inc</t>
  </si>
  <si>
    <t>Fun Flopps Inc</t>
  </si>
  <si>
    <t>Utilities</t>
  </si>
  <si>
    <t>Hi-Noon Petroleum Inc</t>
  </si>
  <si>
    <t>CHS Inc</t>
  </si>
  <si>
    <t>Seven convenience stores</t>
  </si>
  <si>
    <t>Procter &amp; Gamble Co/The</t>
  </si>
  <si>
    <t>Gillette Co/The</t>
  </si>
  <si>
    <t>Multicorp International Inc</t>
  </si>
  <si>
    <t>Stockli USA Ltd</t>
  </si>
  <si>
    <t>Viant Capital LLC</t>
  </si>
  <si>
    <t>Grand Floor Designs</t>
  </si>
  <si>
    <t>Credit Suisse Group AG</t>
  </si>
  <si>
    <t>Fine Arts Engraving Co</t>
  </si>
  <si>
    <t>Leggett &amp; Platt Inc</t>
  </si>
  <si>
    <t>Bollag International Corp</t>
  </si>
  <si>
    <t>Wiping cloth division</t>
  </si>
  <si>
    <t>SMF Energy Corp</t>
  </si>
  <si>
    <t>Shank C&amp;E Investments LLC</t>
  </si>
  <si>
    <t>Tres Aguilas Management LLC</t>
  </si>
  <si>
    <t>15 restaurants</t>
  </si>
  <si>
    <t>Royal Arkansas Hotel &amp; Suites Inc/The</t>
  </si>
  <si>
    <t>Penske Automotive Group Inc</t>
  </si>
  <si>
    <t>Lanier Honda</t>
  </si>
  <si>
    <t>Jeep &amp; Dodge retailers</t>
  </si>
  <si>
    <t>MSD Ignition</t>
  </si>
  <si>
    <t>Superchips Inc</t>
  </si>
  <si>
    <t>Archer Entertainment Media Communications Inc</t>
  </si>
  <si>
    <t>Herbal Regenesis Inc</t>
  </si>
  <si>
    <t>Comark Inc/Canada</t>
  </si>
  <si>
    <t>Brosious &amp; Holt Properties LLC</t>
  </si>
  <si>
    <t>19 stores</t>
  </si>
  <si>
    <t>Poster Financial Group Inc</t>
  </si>
  <si>
    <t>Landry's Inc</t>
  </si>
  <si>
    <t>Golden Nugget's hotels &amp; casino</t>
  </si>
  <si>
    <t>EdgeStone Capital Partners Inc</t>
  </si>
  <si>
    <t>Specialty Catalog Corp</t>
  </si>
  <si>
    <t>Kogeto Inc</t>
  </si>
  <si>
    <t>Alan's Auto's</t>
  </si>
  <si>
    <t>Wembley PLC</t>
  </si>
  <si>
    <t>BLB Investors LLC</t>
  </si>
  <si>
    <t>Wembley Inc</t>
  </si>
  <si>
    <t>Rite Aid Corp</t>
  </si>
  <si>
    <t>Realty Income Corp</t>
  </si>
  <si>
    <t>24 Rite Aid stores</t>
  </si>
  <si>
    <t>Guitar Center Inc</t>
  </si>
  <si>
    <t>Music &amp; Arts Center</t>
  </si>
  <si>
    <t>Capstar Partners LLC</t>
  </si>
  <si>
    <t>Maxide Music Inc</t>
  </si>
  <si>
    <t>Top Shelf LLC</t>
  </si>
  <si>
    <t>Minnesota Vikings Football LLC</t>
  </si>
  <si>
    <t>Xponential Inc</t>
  </si>
  <si>
    <t>American IronHorse Motorcycle Co Inc</t>
  </si>
  <si>
    <t>MLB Advanced Media LP</t>
  </si>
  <si>
    <t>Tickets.com Inc</t>
  </si>
  <si>
    <t>Hanover Direct Inc</t>
  </si>
  <si>
    <t>Investor Group</t>
  </si>
  <si>
    <t>Gump's</t>
  </si>
  <si>
    <t>San Pasqual Band of Mission Indians</t>
  </si>
  <si>
    <t>Siren Gaming LLC</t>
  </si>
  <si>
    <t>Gadzooks Inc</t>
  </si>
  <si>
    <t>Forever 21 Inc</t>
  </si>
  <si>
    <t>Substantially all assets</t>
  </si>
  <si>
    <t>Salkeld and Sons Inc</t>
  </si>
  <si>
    <t>Wireless telecom assets</t>
  </si>
  <si>
    <t>Art.com Inc</t>
  </si>
  <si>
    <t>AllPosters.com</t>
  </si>
  <si>
    <t>Ito-Yokado SHC Co Ltd</t>
  </si>
  <si>
    <t>Seven-Eleven Japan Co Ltd</t>
  </si>
  <si>
    <t>IYG Holding Co</t>
  </si>
  <si>
    <t>Progressive Gaming International Corp</t>
  </si>
  <si>
    <t>VirtGame Corp</t>
  </si>
  <si>
    <t>Tasker Products Corp</t>
  </si>
  <si>
    <t>Certain Assets</t>
  </si>
  <si>
    <t>AngelCiti Entertainment Inc</t>
  </si>
  <si>
    <t>We-R-You Corp</t>
  </si>
  <si>
    <t>EACO Corp</t>
  </si>
  <si>
    <t>Banner Buffets LLC</t>
  </si>
  <si>
    <t>16 restaurants/FL</t>
  </si>
  <si>
    <t>American Vantage Cos</t>
  </si>
  <si>
    <t>Genius Products Inc</t>
  </si>
  <si>
    <t>American Vantage Media Corp</t>
  </si>
  <si>
    <t>Crown Media Holdings Inc</t>
  </si>
  <si>
    <t>Management Group,Providence Equity Partners Inc (Fund: Providence Equity Partners V LP),3i...</t>
  </si>
  <si>
    <t>International business/Crown Media</t>
  </si>
  <si>
    <t>Jefferies Group LLC,Dynamic Management Co LLC</t>
  </si>
  <si>
    <t>Barnhill's Buffet Inc</t>
  </si>
  <si>
    <t>Mighty Ducks of Anaheim</t>
  </si>
  <si>
    <t>FITT Highway Products Inc</t>
  </si>
  <si>
    <t>Who's Your Daddy Inc/Old</t>
  </si>
  <si>
    <t>Greenwald Supply Inc</t>
  </si>
  <si>
    <t>Tranzonic Cos</t>
  </si>
  <si>
    <t>Intex DIY division</t>
  </si>
  <si>
    <t>Specialty Pharmacies Inc</t>
  </si>
  <si>
    <t>R/C Theatres</t>
  </si>
  <si>
    <t>Regal Entertainment Group</t>
  </si>
  <si>
    <t>7 theatres</t>
  </si>
  <si>
    <t>Macy's Inc</t>
  </si>
  <si>
    <t>May Department Stores Co/The</t>
  </si>
  <si>
    <t>Greenwald Industrial Products Co</t>
  </si>
  <si>
    <t>Pantry Inc/The</t>
  </si>
  <si>
    <t>D&amp;D Oil Co Inc/GA</t>
  </si>
  <si>
    <t>Polaris Venture Partners (Fund: Polaris Venture Partners IV LP),Southern Capitol Ventures</t>
  </si>
  <si>
    <t>Hollywood Studios International</t>
  </si>
  <si>
    <t>Doc Hollywood Records</t>
  </si>
  <si>
    <t>Pick Ups Plus Inc</t>
  </si>
  <si>
    <t>NeoMedia Technologies Inc</t>
  </si>
  <si>
    <t>Auto Preservation Inc</t>
  </si>
  <si>
    <t>RNTL Holding Inc</t>
  </si>
  <si>
    <t>6 franchised stores</t>
  </si>
  <si>
    <t>STEN Corp</t>
  </si>
  <si>
    <t>Hot 'N Now restaurants and rights</t>
  </si>
  <si>
    <t>VHQ Entertainment Inc</t>
  </si>
  <si>
    <t>Marcu Music Co</t>
  </si>
  <si>
    <t>Zuma Beach Entertainment Inc</t>
  </si>
  <si>
    <t>Exclusive music &amp; film rights</t>
  </si>
  <si>
    <t>United Enterprise Fund</t>
  </si>
  <si>
    <t>Le Petit Bistro restaurant chain</t>
  </si>
  <si>
    <t>D'ieteren SA/NV</t>
  </si>
  <si>
    <t>Elite Auto Glass Inc</t>
  </si>
  <si>
    <t>ChildLife Inc</t>
  </si>
  <si>
    <t>Escalade Inc</t>
  </si>
  <si>
    <t>Clark Oil Co</t>
  </si>
  <si>
    <t>United Fuel &amp; Energy Corp</t>
  </si>
  <si>
    <t>Fuel distribution assets</t>
  </si>
  <si>
    <t>Wafra Partners LLC</t>
  </si>
  <si>
    <t>Capo Inc</t>
  </si>
  <si>
    <t>Riviera Trading Inc</t>
  </si>
  <si>
    <t>Michelex Corp</t>
  </si>
  <si>
    <t>Hindsight Records Inc</t>
  </si>
  <si>
    <t>Spectral Capital Corp</t>
  </si>
  <si>
    <t>FUSA Technology Investments Corp</t>
  </si>
  <si>
    <t>Skiershop Mountain Sports</t>
  </si>
  <si>
    <t>Tarter Sauce Investments Ltd</t>
  </si>
  <si>
    <t>Betcorp Ltd</t>
  </si>
  <si>
    <t>Sinsational Intertainment Inc</t>
  </si>
  <si>
    <t>Pella Corp</t>
  </si>
  <si>
    <t>Larson Manufacturing Co</t>
  </si>
  <si>
    <t>Storm door manufacturing business</t>
  </si>
  <si>
    <t>Sumitomo Corp</t>
  </si>
  <si>
    <t>Harper Pet Products Inc</t>
  </si>
  <si>
    <t>ICV Capital Partners LLC</t>
  </si>
  <si>
    <t>Marshall Retail Group LLC</t>
  </si>
  <si>
    <t>EPR Properties</t>
  </si>
  <si>
    <t>East Ridge 18 megaplex/TN</t>
  </si>
  <si>
    <t>Brown Shoe Co Inc</t>
  </si>
  <si>
    <t>Bennett Footwear Group LLC</t>
  </si>
  <si>
    <t>Avis Budget Group Inc</t>
  </si>
  <si>
    <t>World's Finest Resorts</t>
  </si>
  <si>
    <t>Yum! Brands Inc</t>
  </si>
  <si>
    <t>Priszm Income Fund</t>
  </si>
  <si>
    <t>Retail Properties</t>
  </si>
  <si>
    <t>Vornado Realty Trust,KKR &amp; Co LP (Fund: KKR Millennium Fund LP),Bain Capital Partners LLC ...</t>
  </si>
  <si>
    <t>PCM Inc</t>
  </si>
  <si>
    <t>eCost.com Inc</t>
  </si>
  <si>
    <t>Public Media Works Inc</t>
  </si>
  <si>
    <t>World Equities LLC Media Group</t>
  </si>
  <si>
    <t>Lanoga Corp</t>
  </si>
  <si>
    <t>Bernco Inc</t>
  </si>
  <si>
    <t>RadioShack Corp,DISH Network Corp</t>
  </si>
  <si>
    <t>WDMG LLC</t>
  </si>
  <si>
    <t>Newmarket Entertainment Group</t>
  </si>
  <si>
    <t>Time Warner Inc</t>
  </si>
  <si>
    <t>Film distribution business</t>
  </si>
  <si>
    <t>Buckle Inc/The</t>
  </si>
  <si>
    <t>Bunker Hill Capital</t>
  </si>
  <si>
    <t>Papa Gino's Holdings Corp Inc</t>
  </si>
  <si>
    <t>WOW Holdings Inc</t>
  </si>
  <si>
    <t>Payless Communication Holdings Inc/Old</t>
  </si>
  <si>
    <t>iBrands Corp</t>
  </si>
  <si>
    <t>Baja Holdings Inc</t>
  </si>
  <si>
    <t>CoreLogic Inc/United States</t>
  </si>
  <si>
    <t>Experian Real Estate Services</t>
  </si>
  <si>
    <t>OfficeMax Inc</t>
  </si>
  <si>
    <t>C&amp;C Manufacturing Inc</t>
  </si>
  <si>
    <t>Maverick Boat Co</t>
  </si>
  <si>
    <t>Cobia boat brands</t>
  </si>
  <si>
    <t>Linsalata Capital Partners Inc</t>
  </si>
  <si>
    <t>Jones &amp; Mitchell Sportswear Inc</t>
  </si>
  <si>
    <t>Sunburst Car Co</t>
  </si>
  <si>
    <t>MBG Acquisition LLC</t>
  </si>
  <si>
    <t>Houston South club</t>
  </si>
  <si>
    <t>Samsonite LLC/OLD</t>
  </si>
  <si>
    <t>McGregor Fashion Group NV</t>
  </si>
  <si>
    <t>McGregor US marketing rights</t>
  </si>
  <si>
    <t>Clean Hydrogen Producers Ltd</t>
  </si>
  <si>
    <t>Andros International</t>
  </si>
  <si>
    <t>Colonial Properties Trust</t>
  </si>
  <si>
    <t>Pennsylvania Real Estate Investment Trust</t>
  </si>
  <si>
    <t>Gadsden Mall</t>
  </si>
  <si>
    <t>Hain Celestial Group Inc/The</t>
  </si>
  <si>
    <t>Zia Cosmetics Inc</t>
  </si>
  <si>
    <t>Salvage facility/KY</t>
  </si>
  <si>
    <t>Convenience store</t>
  </si>
  <si>
    <t>Benchmark Capital Holdings Co LLC (Fund: Benchmark Capital Partners IV LP),Oak Investment ...</t>
  </si>
  <si>
    <t>Potbelly Corp</t>
  </si>
  <si>
    <t>Starbucks Corp</t>
  </si>
  <si>
    <t>Ethos Water</t>
  </si>
  <si>
    <t>Broadus Oil Corp</t>
  </si>
  <si>
    <t>4 Convenience stores</t>
  </si>
  <si>
    <t>Thorton Oil</t>
  </si>
  <si>
    <t>5 Convenience stores</t>
  </si>
  <si>
    <t>Media Corp PLC</t>
  </si>
  <si>
    <t>GOT2BET.COM</t>
  </si>
  <si>
    <t>EnVogue International Salon</t>
  </si>
  <si>
    <t>WinWin Gaming Inc</t>
  </si>
  <si>
    <t>Pixiem Inc</t>
  </si>
  <si>
    <t>Global Real Estate Equity Inc</t>
  </si>
  <si>
    <t>Lord Tech Inc</t>
  </si>
  <si>
    <t>Ozark Apples Inc</t>
  </si>
  <si>
    <t>Applebee's International Inc</t>
  </si>
  <si>
    <t>12 franchise restaurants</t>
  </si>
  <si>
    <t>Occidental Chemical Corp</t>
  </si>
  <si>
    <t>Superior Plus Corp</t>
  </si>
  <si>
    <t>Chloralkali business</t>
  </si>
  <si>
    <t>Linden LLC</t>
  </si>
  <si>
    <t>Ranir LLC</t>
  </si>
  <si>
    <t>Alterna Inc</t>
  </si>
  <si>
    <t>Kuhlman Co Inc</t>
  </si>
  <si>
    <t>SK2 Inc</t>
  </si>
  <si>
    <t>Miller Family LP</t>
  </si>
  <si>
    <t>Miller's Inc</t>
  </si>
  <si>
    <t>Forest Resources Management Corp</t>
  </si>
  <si>
    <t>Executive Restaurant Group Inc</t>
  </si>
  <si>
    <t>Warner Music Group Corp</t>
  </si>
  <si>
    <t>Bad Boy Entertainment</t>
  </si>
  <si>
    <t>Temasek Holdings Pte Ltd,JW Childs Associates LP,OSIM International Ltd</t>
  </si>
  <si>
    <t>Brookstone Inc</t>
  </si>
  <si>
    <t>Fala Direct Marketing Inc</t>
  </si>
  <si>
    <t>Pitney Bowes Inc</t>
  </si>
  <si>
    <t>Fala Sorting Services</t>
  </si>
  <si>
    <t>Electronics Boutique Holdings Corp</t>
  </si>
  <si>
    <t>Gryphon Investors Inc</t>
  </si>
  <si>
    <t>ValueAct Capital Partners LP</t>
  </si>
  <si>
    <t>Infinity Energy Resources Inc</t>
  </si>
  <si>
    <t>31000 Acres in Comanche County</t>
  </si>
  <si>
    <t>Carmike Cinemas Inc</t>
  </si>
  <si>
    <t>George G. Kerasotes Corp</t>
  </si>
  <si>
    <t>Birks Group Inc</t>
  </si>
  <si>
    <t>Mayor's Jewelers Inc</t>
  </si>
  <si>
    <t>Perkins &amp; Marie Callender's LLC</t>
  </si>
  <si>
    <t>Trustreet Properties Inc</t>
  </si>
  <si>
    <t>68 Perkins restaurants</t>
  </si>
  <si>
    <t>H3 Enterprises Inc</t>
  </si>
  <si>
    <t>Cal-Bay International Inc</t>
  </si>
  <si>
    <t>Aspen Cove Resort</t>
  </si>
  <si>
    <t>Clickable Enterprises Inc</t>
  </si>
  <si>
    <t>Lorusso Oil Co</t>
  </si>
  <si>
    <t>32 Electronics &amp; SoundTrack stores</t>
  </si>
  <si>
    <t>Oakley Inc</t>
  </si>
  <si>
    <t>Five Optica retail locations/US</t>
  </si>
  <si>
    <t>Lithia Chrysler Dodge</t>
  </si>
  <si>
    <t>Thermo Media LLC</t>
  </si>
  <si>
    <t>Lotta Luv LLC</t>
  </si>
  <si>
    <t>Charles Komar &amp; Sons Inc</t>
  </si>
  <si>
    <t>California Pizza Kitchen Inc</t>
  </si>
  <si>
    <t>LA Food Show Inc</t>
  </si>
  <si>
    <t>Isle of Capri Casinos Inc</t>
  </si>
  <si>
    <t>Nevada Gold &amp; Casinos Inc</t>
  </si>
  <si>
    <t>Colorado Grande Casino-Cripple Creek</t>
  </si>
  <si>
    <t>Kering</t>
  </si>
  <si>
    <t>Expansys PLC</t>
  </si>
  <si>
    <t>MobilePlanet Inc</t>
  </si>
  <si>
    <t>Blair Corp</t>
  </si>
  <si>
    <t>Alliance Data Systems Corp</t>
  </si>
  <si>
    <t>Private label credit portfolio</t>
  </si>
  <si>
    <t>KOCH Entertainment</t>
  </si>
  <si>
    <t>Music Choice</t>
  </si>
  <si>
    <t>Music video library</t>
  </si>
  <si>
    <t>Svoboda Capital Partners LLC</t>
  </si>
  <si>
    <t>AEA Investors</t>
  </si>
  <si>
    <t>Cortz Inc</t>
  </si>
  <si>
    <t>Koninklijke Ahold NV</t>
  </si>
  <si>
    <t>WFI Acquisition Inc</t>
  </si>
  <si>
    <t>TOPS store chains</t>
  </si>
  <si>
    <t>Eastern Federal Theatres</t>
  </si>
  <si>
    <t>Pacific Equity Partners Pty Ltd</t>
  </si>
  <si>
    <t>Worldwide Restaurant Concepts Inc</t>
  </si>
  <si>
    <t>Terry Moye &amp; Associates</t>
  </si>
  <si>
    <t>Saks Inc</t>
  </si>
  <si>
    <t>Belk Inc</t>
  </si>
  <si>
    <t>Proffitt's &amp; McRae's chains</t>
  </si>
  <si>
    <t>DDJ Capital Management LLC</t>
  </si>
  <si>
    <t>Avado Brands Inc</t>
  </si>
  <si>
    <t>Warburg Pincus LLC (Fund: Warburg Pincus Private Equity VIII LP),Warburg Pincus LLC (Fund:...</t>
  </si>
  <si>
    <t>Veronis Suhler Stevenson LLC</t>
  </si>
  <si>
    <t>Southern Theatres LLC</t>
  </si>
  <si>
    <t>Hartz Mountain Corp/The</t>
  </si>
  <si>
    <t>My Pet Inc</t>
  </si>
  <si>
    <t>O'Reilly Automotive Inc</t>
  </si>
  <si>
    <t>WE Lahr Co</t>
  </si>
  <si>
    <t>Performance Dodge Chrysler Jeep</t>
  </si>
  <si>
    <t>La-Z-Boy Inc</t>
  </si>
  <si>
    <t>8 La-Z-Boy store ops/CT &amp; PA</t>
  </si>
  <si>
    <t>General Electric Co,Penske Automotive Group Inc,Transportation Resource Partners LP</t>
  </si>
  <si>
    <t>QEK Global Solutions</t>
  </si>
  <si>
    <t>Experian Interactive Media</t>
  </si>
  <si>
    <t>Snake River Lodge &amp; Spa</t>
  </si>
  <si>
    <t>Greyfield Capital Inc</t>
  </si>
  <si>
    <t>Canadian AutoRama Ltd</t>
  </si>
  <si>
    <t>LLR Partners Inc</t>
  </si>
  <si>
    <t>Five Below Inc</t>
  </si>
  <si>
    <t>Nexxus Products Co</t>
  </si>
  <si>
    <t>Linkwell Corp</t>
  </si>
  <si>
    <t>Linkwell Tech Group Inc</t>
  </si>
  <si>
    <t>Entertainment One Income Fund</t>
  </si>
  <si>
    <t>Universal Music Group Inc</t>
  </si>
  <si>
    <t>EDCI Holdings Inc</t>
  </si>
  <si>
    <t>CD &amp; DVD manufacturing ops</t>
  </si>
  <si>
    <t>JL Albright Venture Partners</t>
  </si>
  <si>
    <t>Predixis Corp</t>
  </si>
  <si>
    <t>Mitsubishi Corp</t>
  </si>
  <si>
    <t>Nutritional Laboratories International Inc</t>
  </si>
  <si>
    <t>Peterson Partners LP</t>
  </si>
  <si>
    <t>Advent International Corp</t>
  </si>
  <si>
    <t>Making Memories Wholesale Inc</t>
  </si>
  <si>
    <t>Stenheiser Propane Inc</t>
  </si>
  <si>
    <t>Telzuit Medical Technologies Inc</t>
  </si>
  <si>
    <t>Telzuit Technologies Inc</t>
  </si>
  <si>
    <t>3 Convenience stores</t>
  </si>
  <si>
    <t>Lions Gate Entertainment Corp</t>
  </si>
  <si>
    <t>SKINWALKERS rights</t>
  </si>
  <si>
    <t>DiamondRock Hospitality Co</t>
  </si>
  <si>
    <t>Vail Marriott Mountain Resort</t>
  </si>
  <si>
    <t>Freed Appliance Distributors LP</t>
  </si>
  <si>
    <t>BSH Home Appliances Corp</t>
  </si>
  <si>
    <t>Assets and operations</t>
  </si>
  <si>
    <t>Caesars Entertainment Inc</t>
  </si>
  <si>
    <t>Great Canadian Gaming Corp</t>
  </si>
  <si>
    <t>Metropolitan Entertainment Group Ltd</t>
  </si>
  <si>
    <t>Netex Financial Services Inc</t>
  </si>
  <si>
    <t>Propane Sales</t>
  </si>
  <si>
    <t>Triple Threat Flag Football Belts Inc</t>
  </si>
  <si>
    <t>Intellectual property &amp; trademark/Triple Threat Flag Football</t>
  </si>
  <si>
    <t>L'Oreal SA</t>
  </si>
  <si>
    <t>SkinCeuticals</t>
  </si>
  <si>
    <t>CCMP Capital Advisors LLC</t>
  </si>
  <si>
    <t>Charming Shoppes Inc</t>
  </si>
  <si>
    <t>Crosstown Traders Inc</t>
  </si>
  <si>
    <t>Finlay Enterprises Inc</t>
  </si>
  <si>
    <t>Carlyle &amp; Co Jewelers LLC</t>
  </si>
  <si>
    <t>Gas 'N' Shop Inc</t>
  </si>
  <si>
    <t>Casey's General Stores Inc</t>
  </si>
  <si>
    <t>51 stores</t>
  </si>
  <si>
    <t>Bayless Gas Inc</t>
  </si>
  <si>
    <t>Unilever NV</t>
  </si>
  <si>
    <t>Coty Inc</t>
  </si>
  <si>
    <t>Unilever Cosmetics International</t>
  </si>
  <si>
    <t>Summit Partners LP</t>
  </si>
  <si>
    <t>Tivoli Audio LLC</t>
  </si>
  <si>
    <t>Bianca of Nevada Inc</t>
  </si>
  <si>
    <t>Walking Co Holdings Inc/The</t>
  </si>
  <si>
    <t>Footworks</t>
  </si>
  <si>
    <t>House of Taylor Jewelry Inc</t>
  </si>
  <si>
    <t>Global Jewelry Concepts Inc</t>
  </si>
  <si>
    <t>Plasticon International Inc</t>
  </si>
  <si>
    <t>Semco Inc</t>
  </si>
  <si>
    <t>Dover Motorsports Inc</t>
  </si>
  <si>
    <t>Aquarium Asset Management LLC</t>
  </si>
  <si>
    <t>Grand Prix of Long Beach</t>
  </si>
  <si>
    <t>Pending</t>
  </si>
  <si>
    <t>Sentinel Capital Partners</t>
  </si>
  <si>
    <t>Falcon Holdings Management LLC</t>
  </si>
  <si>
    <t>Bingo.com Ltd</t>
  </si>
  <si>
    <t>www.groovybingo.com</t>
  </si>
  <si>
    <t>www.winabingo.com</t>
  </si>
  <si>
    <t>Wendy's Co/The</t>
  </si>
  <si>
    <t>RTM Restaurant Group Inc</t>
  </si>
  <si>
    <t>Rafaella Apparel Group Inc</t>
  </si>
  <si>
    <t>Rafaella Sportswear Inc</t>
  </si>
  <si>
    <t>Muirheads</t>
  </si>
  <si>
    <t>Landmark Interiors Inc</t>
  </si>
  <si>
    <t>Hunt Gold Corp</t>
  </si>
  <si>
    <t>Puerto Rico-7</t>
  </si>
  <si>
    <t>Crown Bolt LLC</t>
  </si>
  <si>
    <t>Jeld-Wen Inc</t>
  </si>
  <si>
    <t>Contractors Warehouse division</t>
  </si>
  <si>
    <t>Citigroup Inc</t>
  </si>
  <si>
    <t>Credit Card Portfolio</t>
  </si>
  <si>
    <t>Bassett Furniture Industries Inc</t>
  </si>
  <si>
    <t>8 Bassett Furniture Direct stores/TX</t>
  </si>
  <si>
    <t>Doc Hollywood Studios Inc/Old</t>
  </si>
  <si>
    <t>Thrifty Brothers Inc</t>
  </si>
  <si>
    <t>Gold Coast Mining Corp</t>
  </si>
  <si>
    <t>Thrift stores &amp; eBay drop locations</t>
  </si>
  <si>
    <t>Synetro Capital LLC</t>
  </si>
  <si>
    <t>Kalamazoo Grill Co</t>
  </si>
  <si>
    <t>Universal City Studios Productions LLLP</t>
  </si>
  <si>
    <t>Lornamead Acquisition Ltd</t>
  </si>
  <si>
    <t>6 hair care brands</t>
  </si>
  <si>
    <t>HSBC Holdings PLC</t>
  </si>
  <si>
    <t>Private label credit card accounts</t>
  </si>
  <si>
    <t>Internet Brands Inc</t>
  </si>
  <si>
    <t>1-800 Communications Inc</t>
  </si>
  <si>
    <t>Conversant Inc</t>
  </si>
  <si>
    <t>E-Babylon Inc</t>
  </si>
  <si>
    <t>Texas Oil &amp; Minerals Inc/United States</t>
  </si>
  <si>
    <t>Load Hog Industries Inc</t>
  </si>
  <si>
    <t>Rovi Corp</t>
  </si>
  <si>
    <t>Zero G Software Inc</t>
  </si>
  <si>
    <t>CBS Corp</t>
  </si>
  <si>
    <t>Cineplex Inc</t>
  </si>
  <si>
    <t>Movie Exhibition Business</t>
  </si>
  <si>
    <t>MSR Advisors Inc,Founders Equity Inc,CITIC Provident Management Ltd</t>
  </si>
  <si>
    <t>Park Lane Associates Inc</t>
  </si>
  <si>
    <t>Uni-Select Inc</t>
  </si>
  <si>
    <t>Lawrence store</t>
  </si>
  <si>
    <t>NMI Group Inc</t>
  </si>
  <si>
    <t>Three Amigos Hospitality LLC</t>
  </si>
  <si>
    <t>Action Automotive Distributing Inc</t>
  </si>
  <si>
    <t>Kirkland Auto Parts Inc</t>
  </si>
  <si>
    <t>Marton Inc</t>
  </si>
  <si>
    <t>Johnson Industries Inc</t>
  </si>
  <si>
    <t>Mid-State Raceway Inc</t>
  </si>
  <si>
    <t>Vernon Downs Acquisition LLC</t>
  </si>
  <si>
    <t>Vernon Downs Racetrack</t>
  </si>
  <si>
    <t>Angus I Hines Inc</t>
  </si>
  <si>
    <t>23 convenience stores/VA</t>
  </si>
  <si>
    <t>HearUSA Inc</t>
  </si>
  <si>
    <t>Sonus USA Inc</t>
  </si>
  <si>
    <t>MN WA &amp; WI facilities</t>
  </si>
  <si>
    <t>Professional Hearing Care Inc</t>
  </si>
  <si>
    <t>3 Hearing aid centers</t>
  </si>
  <si>
    <t>Shelly's Pharmacy</t>
  </si>
  <si>
    <t>Earth Biofuels Inc/Old</t>
  </si>
  <si>
    <t>Truck stop/MS</t>
  </si>
  <si>
    <t>Columbia Sussex Corp</t>
  </si>
  <si>
    <t>Argosy Casino-Baton Rouge</t>
  </si>
  <si>
    <t>First Pet Life Inc</t>
  </si>
  <si>
    <t>First Pet Life Inc/Old</t>
  </si>
  <si>
    <t>AMC Entertainment Inc</t>
  </si>
  <si>
    <t>Loews Cineplex Entertainment Corp</t>
  </si>
  <si>
    <t>American Capital Ltd</t>
  </si>
  <si>
    <t>Potpourri Group Inc</t>
  </si>
  <si>
    <t>Bon-Ton Stores Inc/The</t>
  </si>
  <si>
    <t>Private Lable Credit Card Accounts</t>
  </si>
  <si>
    <t>Books-A-Million Inc</t>
  </si>
  <si>
    <t>American Wagering Inc</t>
  </si>
  <si>
    <t>Sturgeon's Inn &amp; Casino</t>
  </si>
  <si>
    <t>Ferrellgas Partners LP</t>
  </si>
  <si>
    <t>Enterprise Products Partners LP</t>
  </si>
  <si>
    <t>Storage &amp; terminal assets</t>
  </si>
  <si>
    <t>Texas Boot Inc</t>
  </si>
  <si>
    <t>McRae Industries Inc</t>
  </si>
  <si>
    <t>REPS LLC</t>
  </si>
  <si>
    <t>Handleman Co</t>
  </si>
  <si>
    <t>Operating assets</t>
  </si>
  <si>
    <t>Leonard Green &amp; Partners LP</t>
  </si>
  <si>
    <t>Tire Rack Inc</t>
  </si>
  <si>
    <t>Williams Bros Lumber Co LLC</t>
  </si>
  <si>
    <t>Jacobson Partners LP</t>
  </si>
  <si>
    <t>Palladium Equity Partners LLC</t>
  </si>
  <si>
    <t>Taco Bueno Restaurants LP</t>
  </si>
  <si>
    <t>Scorpion Holding Co Ltd</t>
  </si>
  <si>
    <t>DRS Technologies Inc</t>
  </si>
  <si>
    <t>WalkAbout Computers Inc</t>
  </si>
  <si>
    <t>DEQ Systems Corp</t>
  </si>
  <si>
    <t>DP Stud Inc</t>
  </si>
  <si>
    <t>4 Propane retail cos</t>
  </si>
  <si>
    <t>Irving Place Capital Management LP</t>
  </si>
  <si>
    <t>Stuart Weitzman Holdings LLC</t>
  </si>
  <si>
    <t>Kerasotes Showplace Theatres LLC</t>
  </si>
  <si>
    <t>CapStreet Group LLC/The</t>
  </si>
  <si>
    <t>Worldwise Inc</t>
  </si>
  <si>
    <t>Brafasco Holdings II Inc</t>
  </si>
  <si>
    <t>NorthStar Realty Finance Corp</t>
  </si>
  <si>
    <t>Riese Organization Inc,Himmel + Meringoff Properties</t>
  </si>
  <si>
    <t>729 Seventh Avenue/New York</t>
  </si>
  <si>
    <t>Mount Snow Ltd</t>
  </si>
  <si>
    <t>Tyringham Ridge</t>
  </si>
  <si>
    <t>Haystack Ski Resort</t>
  </si>
  <si>
    <t>Bank of America Corp,Falcon Investment Advisors LLC (Fund: Falcon Mezzanine Partners II LP...</t>
  </si>
  <si>
    <t>Legendary Pictures Inc</t>
  </si>
  <si>
    <t>Volusia Speedway Park</t>
  </si>
  <si>
    <t>Emerson Radio Corp</t>
  </si>
  <si>
    <t>Sport Supply Group Inc/Old</t>
  </si>
  <si>
    <t>Fort McMurray Stationery Ltd</t>
  </si>
  <si>
    <t>Harvest Solutions Inc</t>
  </si>
  <si>
    <t>Hydron Technologies Inc</t>
  </si>
  <si>
    <t>Clinical Results Inc</t>
  </si>
  <si>
    <t>PlayNetwork Inc</t>
  </si>
  <si>
    <t>Crows Nest Entertainment Inc</t>
  </si>
  <si>
    <t>Bay Meadows Land Co LLC</t>
  </si>
  <si>
    <t>Hollywood Park Racetrack</t>
  </si>
  <si>
    <t>Quiksilver Inc</t>
  </si>
  <si>
    <t>Centre Skateboard Distribution Ltd</t>
  </si>
  <si>
    <t>Highstar Capital LP</t>
  </si>
  <si>
    <t>Stagecoach Holding LLC</t>
  </si>
  <si>
    <t>LaSalle Brands Corp</t>
  </si>
  <si>
    <t>Restaurant Cos International</t>
  </si>
  <si>
    <t>Colgate-Palmolive Co</t>
  </si>
  <si>
    <t>Phoenix Brands LLC</t>
  </si>
  <si>
    <t>NA laundry detergent brands</t>
  </si>
  <si>
    <t>Orbit Brands Corp</t>
  </si>
  <si>
    <t>BBKO Ltd</t>
  </si>
  <si>
    <t>IWCO Direct</t>
  </si>
  <si>
    <t>Noble Romans Inc</t>
  </si>
  <si>
    <t>2 Noble Roman franchises</t>
  </si>
  <si>
    <t>Poipu Resort Partners LP</t>
  </si>
  <si>
    <t>IA Global Inc</t>
  </si>
  <si>
    <t>Ominira Networks LLC</t>
  </si>
  <si>
    <t>IA Global Acquisition Co</t>
  </si>
  <si>
    <t>GT Brands Holdings LLC</t>
  </si>
  <si>
    <t>Gaiam Inc</t>
  </si>
  <si>
    <t>Direct and retail units</t>
  </si>
  <si>
    <t>Bijou Studios Inc</t>
  </si>
  <si>
    <t>ClanPass Tournament System</t>
  </si>
  <si>
    <t>Settles Glass Cos Inc</t>
  </si>
  <si>
    <t>Diamond Triumph Auto Glass Inc</t>
  </si>
  <si>
    <t>Settles Glass assets</t>
  </si>
  <si>
    <t>Chico's FAS Inc,Oak Investment Partners,Lone Pine Capital LLC,Sutter Hill Ventures LP,Mave...</t>
  </si>
  <si>
    <t>lucy activewear inc</t>
  </si>
  <si>
    <t>NowAuto Group Inc</t>
  </si>
  <si>
    <t>World Hockey Association Corp</t>
  </si>
  <si>
    <t>World Hockey Association Corp/Old</t>
  </si>
  <si>
    <t>Cinemark USA Inc</t>
  </si>
  <si>
    <t>National CineMedia LLC</t>
  </si>
  <si>
    <t>CouplesClick.net</t>
  </si>
  <si>
    <t>MultiShift Inc</t>
  </si>
  <si>
    <t>Certain assets/MultiShift Inc</t>
  </si>
  <si>
    <t>Shopko Stores Inc</t>
  </si>
  <si>
    <t>Regency Realty Group Inc</t>
  </si>
  <si>
    <t>3 ShopKo stores</t>
  </si>
  <si>
    <t>Thomas H Lee Partners LP,CCMP Capital Advisors LLC</t>
  </si>
  <si>
    <t>National Waterworks Holdings Inc</t>
  </si>
  <si>
    <t>Private Investor,Sierra Ventures Management LLC (Fund: Sierra Ventures VIII LP),Neocarta V...</t>
  </si>
  <si>
    <t>New York &amp; Co Inc</t>
  </si>
  <si>
    <t>Lerner New York Outlet Inc</t>
  </si>
  <si>
    <t>Anizei Computers Corp</t>
  </si>
  <si>
    <t>Coastal Capital Acquisition Corp</t>
  </si>
  <si>
    <t>Operational assets</t>
  </si>
  <si>
    <t>Joe Boxer Co LLC</t>
  </si>
  <si>
    <t>Iconix Brand Group Inc</t>
  </si>
  <si>
    <t>JOE BOXER</t>
  </si>
  <si>
    <t>Tractor Supply Co</t>
  </si>
  <si>
    <t>Del's Farm Supply LLC</t>
  </si>
  <si>
    <t>Trymedia Systems Inc</t>
  </si>
  <si>
    <t>Berkshire Partners LLC</t>
  </si>
  <si>
    <t>National Vision Inc</t>
  </si>
  <si>
    <t>Advance Auto Parts Inc</t>
  </si>
  <si>
    <t>Lappen Auto Supply Co</t>
  </si>
  <si>
    <t>Consolidated Vision Group Inc</t>
  </si>
  <si>
    <t>WagerWorks Inc</t>
  </si>
  <si>
    <t>Crescent Entertainment LLC</t>
  </si>
  <si>
    <t>Village Roadshow Pictures</t>
  </si>
  <si>
    <t>IsoRay Inc</t>
  </si>
  <si>
    <t>IsoRay Medical Inc</t>
  </si>
  <si>
    <t>iGlue Inc</t>
  </si>
  <si>
    <t>Cisco Music Inc</t>
  </si>
  <si>
    <t>GeNOsys Inc</t>
  </si>
  <si>
    <t>GeNOsys Inc/Old</t>
  </si>
  <si>
    <t>SGII Ltd</t>
  </si>
  <si>
    <t>Parlux Fragrances Inc</t>
  </si>
  <si>
    <t>Real estate property/FL</t>
  </si>
  <si>
    <t>First Look Media Inc</t>
  </si>
  <si>
    <t>Capital Entertainment Corp</t>
  </si>
  <si>
    <t>YHI International Ltd</t>
  </si>
  <si>
    <t>Pan Mar Corp DBA Konig Motoring Accessories</t>
  </si>
  <si>
    <t>JV</t>
  </si>
  <si>
    <t>Image Entertainment Inc</t>
  </si>
  <si>
    <t>Home Vision Entertainment</t>
  </si>
  <si>
    <t>Ontario Teachers' Pension Plan Board,Ares Management LLC (Fund: Ares Corporate Opportuniti...</t>
  </si>
  <si>
    <t>National Bedding Co LLC</t>
  </si>
  <si>
    <t>GENLB-Rancho LLC</t>
  </si>
  <si>
    <t>Lodge at Rancho Mirage</t>
  </si>
  <si>
    <t>NewGen Technologies Inc</t>
  </si>
  <si>
    <t>ReFuel America Inc</t>
  </si>
  <si>
    <t>Chatham Oil Co Inc</t>
  </si>
  <si>
    <t>13 Speedmart Food stores/AL</t>
  </si>
  <si>
    <t>Littlefield Corp</t>
  </si>
  <si>
    <t>Bingo Hall/TX</t>
  </si>
  <si>
    <t>Gener8Xion Entertainment Inc</t>
  </si>
  <si>
    <t>Cinemills</t>
  </si>
  <si>
    <t>Bunzl PLC</t>
  </si>
  <si>
    <t>Sofco Inc</t>
  </si>
  <si>
    <t>Fountain Motor Co Inc</t>
  </si>
  <si>
    <t>Assets of medium-duty truck dealership</t>
  </si>
  <si>
    <t>Frontier Pharmacy &amp; Nutrition Inc</t>
  </si>
  <si>
    <t>selected assets &amp; liabilities</t>
  </si>
  <si>
    <t>Kaman Corp</t>
  </si>
  <si>
    <t>MBT Holding Corp</t>
  </si>
  <si>
    <t>Mervyn's LLC</t>
  </si>
  <si>
    <t>MDT/DDR Joint Venture</t>
  </si>
  <si>
    <t>36 Mervyns stores</t>
  </si>
  <si>
    <t>Universal Music Group Inc,Columbia Capital LLC,Highland Capital Partners (Fund: Highland C...</t>
  </si>
  <si>
    <t>Amp'd Mobile Inc</t>
  </si>
  <si>
    <t>McAlister's Deli</t>
  </si>
  <si>
    <t>Studio Center Worldwide Audio</t>
  </si>
  <si>
    <t>Tele-Talent International Inc</t>
  </si>
  <si>
    <t>GSN Interstate Truck Stop Inc</t>
  </si>
  <si>
    <t>Michael Anthony Holdings Inc</t>
  </si>
  <si>
    <t>Bel-Oro International Inc</t>
  </si>
  <si>
    <t>Jewelry operating assets</t>
  </si>
  <si>
    <t>Brinker International Inc</t>
  </si>
  <si>
    <t>CBC Restaurant Corp</t>
  </si>
  <si>
    <t>Corner Bakery restaurant concept</t>
  </si>
  <si>
    <t>Papa John's International Inc</t>
  </si>
  <si>
    <t>PJCOMN Acquisition Corp</t>
  </si>
  <si>
    <t>84 restaurants</t>
  </si>
  <si>
    <t>Aero Performance Products Inc</t>
  </si>
  <si>
    <t>Fit-n-Healthy Market Cafe</t>
  </si>
  <si>
    <t>Granite Real Estate Investment Trust</t>
  </si>
  <si>
    <t>Jacobs Entertainment Inc</t>
  </si>
  <si>
    <t>Maryland-Virginia Racing Circuit Inc</t>
  </si>
  <si>
    <t>Auction Mills Inc</t>
  </si>
  <si>
    <t>Zeehoo Inc</t>
  </si>
  <si>
    <t>Dillard's Inc</t>
  </si>
  <si>
    <t>McRae's store at Mall of Louisiana</t>
  </si>
  <si>
    <t>PKBT Funding LLC</t>
  </si>
  <si>
    <t>KB Toys Inc</t>
  </si>
  <si>
    <t>DTLR Inc</t>
  </si>
  <si>
    <t>Wicks Learning Group LLC</t>
  </si>
  <si>
    <t>Delta Education LLC</t>
  </si>
  <si>
    <t>Nordstrom Inc</t>
  </si>
  <si>
    <t>Jeffrey stores</t>
  </si>
  <si>
    <t>Refac Optical Group</t>
  </si>
  <si>
    <t>US Vision Inc</t>
  </si>
  <si>
    <t>PC Universe Inc</t>
  </si>
  <si>
    <t>Poker related internet properties</t>
  </si>
  <si>
    <t>Vaibhav Global Ltd</t>
  </si>
  <si>
    <t>5 Jewellery manufacturing Cos</t>
  </si>
  <si>
    <t>Sonic Corp</t>
  </si>
  <si>
    <t>15 franchise drive-ins</t>
  </si>
  <si>
    <t>Suncoast Nutriceuticals Inc</t>
  </si>
  <si>
    <t>Caribbean Pacific Natural Products Inc</t>
  </si>
  <si>
    <t>Ontario Teachers' Pension Plan Board</t>
  </si>
  <si>
    <t>Doane Pet Care Enterprises Inc</t>
  </si>
  <si>
    <t>International Components Corp</t>
  </si>
  <si>
    <t>ELPAC Electronics Inc</t>
  </si>
  <si>
    <t>Teledyne Technologies Inc</t>
  </si>
  <si>
    <t>Teledyne RD Instruments Inc</t>
  </si>
  <si>
    <t>Advanstar Communications Inc</t>
  </si>
  <si>
    <t>POOL trade show</t>
  </si>
  <si>
    <t>Project trade show group</t>
  </si>
  <si>
    <t>Morgan Stanley</t>
  </si>
  <si>
    <t>Pronghorn Investors LLC</t>
  </si>
  <si>
    <t>International Luxury Products Inc</t>
  </si>
  <si>
    <t>American Luxury Products Inc</t>
  </si>
  <si>
    <t>Tradeshow Marketing Co Ltd</t>
  </si>
  <si>
    <t>2 Retail stores</t>
  </si>
  <si>
    <t>Hillshire Brands Co/The</t>
  </si>
  <si>
    <t>Delial</t>
  </si>
  <si>
    <t>JPMorgan Chase &amp; Co</t>
  </si>
  <si>
    <t>Credit &amp; Financial Services business</t>
  </si>
  <si>
    <t>LKQ Corp</t>
  </si>
  <si>
    <t>Mid-State Aftermarket Parts</t>
  </si>
  <si>
    <t>Seven &amp; I Holdings Co Ltd</t>
  </si>
  <si>
    <t>7-Eleven Inc</t>
  </si>
  <si>
    <t>Independent Auto Parts</t>
  </si>
  <si>
    <t>Freehand Systems International Inc</t>
  </si>
  <si>
    <t>Freehand Systems Inc</t>
  </si>
  <si>
    <t>TRC Holding Corp</t>
  </si>
  <si>
    <t>Restaurant Holding Corp/The</t>
  </si>
  <si>
    <t>H&amp;W Petroleum Co Inc</t>
  </si>
  <si>
    <t>Beacon Roofing Supply Inc</t>
  </si>
  <si>
    <t>Commercial Supply Inc</t>
  </si>
  <si>
    <t>Tube Media Corp/The</t>
  </si>
  <si>
    <t>Tarragon South Development Corp</t>
  </si>
  <si>
    <t>Primary 4 acre facility</t>
  </si>
  <si>
    <t>Maveron LLC,Frazier Technology Ventures LLC</t>
  </si>
  <si>
    <t>OnRequest Images Inc</t>
  </si>
  <si>
    <t>Restaurant portfolio</t>
  </si>
  <si>
    <t>16 convenience stores</t>
  </si>
  <si>
    <t>AppTech Corp</t>
  </si>
  <si>
    <t>CSI Business Finance Inc/Old</t>
  </si>
  <si>
    <t>SIVOO Holdings Inc</t>
  </si>
  <si>
    <t>LV Internet Inc/Old</t>
  </si>
  <si>
    <t>Church &amp; Dwight Co Inc</t>
  </si>
  <si>
    <t>SpinBrush toothbrush business</t>
  </si>
  <si>
    <t>PHS Group Inc</t>
  </si>
  <si>
    <t>TWA Restaurant Group</t>
  </si>
  <si>
    <t>Famous Sam's</t>
  </si>
  <si>
    <t>Autopart International Inc</t>
  </si>
  <si>
    <t>Truli Media Group Inc</t>
  </si>
  <si>
    <t>Heartland Cup Inc</t>
  </si>
  <si>
    <t>Barrett Trucks LLC</t>
  </si>
  <si>
    <t>Certain truck dealership assets</t>
  </si>
  <si>
    <t>Biomass Secure Power Inc</t>
  </si>
  <si>
    <t>DVD Marketplace.com</t>
  </si>
  <si>
    <t>eBay drop store</t>
  </si>
  <si>
    <t>TBC Corp</t>
  </si>
  <si>
    <t>Rampage Clothing Co</t>
  </si>
  <si>
    <t>RAMPAGE</t>
  </si>
  <si>
    <t>Sleep Innovations Inc</t>
  </si>
  <si>
    <t>Cisco Systems Inc</t>
  </si>
  <si>
    <t>AeroScout Inc</t>
  </si>
  <si>
    <t>MyFamily.com Inc</t>
  </si>
  <si>
    <t>Heritage Makers LLC</t>
  </si>
  <si>
    <t>Knead Bread</t>
  </si>
  <si>
    <t>Panera Bread Co</t>
  </si>
  <si>
    <t>21 franchise bakery-cafes</t>
  </si>
  <si>
    <t>Tiffany &amp; Co</t>
  </si>
  <si>
    <t>CapLease Inc</t>
  </si>
  <si>
    <t>Tiffany's operational facility</t>
  </si>
  <si>
    <t>AAH Acquisition Corp</t>
  </si>
  <si>
    <t>Party City Corp</t>
  </si>
  <si>
    <t>Harlem Globetrotters International Inc</t>
  </si>
  <si>
    <t>Simple Star Inc</t>
  </si>
  <si>
    <t>OurPictures Inc</t>
  </si>
  <si>
    <t>Pasta Pranzo Franchise Co LLC</t>
  </si>
  <si>
    <t>Intrawest ULC</t>
  </si>
  <si>
    <t>Beachfront property/Maui</t>
  </si>
  <si>
    <t>Ampersand Capital Partners</t>
  </si>
  <si>
    <t>Associated British Foods PLC</t>
  </si>
  <si>
    <t>Protient Inc</t>
  </si>
  <si>
    <t>American Securities Capital Partners LP</t>
  </si>
  <si>
    <t>El Pollo Loco Inc</t>
  </si>
  <si>
    <t>Hayes Leasing Co</t>
  </si>
  <si>
    <t>Wellspring Capital Management LLC</t>
  </si>
  <si>
    <t>JW Aluminum Holding Co</t>
  </si>
  <si>
    <t>Yamato Engineering Inc</t>
  </si>
  <si>
    <t>Sailor Pen Co Ltd/Japan</t>
  </si>
  <si>
    <t>Sailor Automation Inc</t>
  </si>
  <si>
    <t>Euroseas Ltd</t>
  </si>
  <si>
    <t>Cove Apparel Inc</t>
  </si>
  <si>
    <t>Roberts Realty Investors Inc</t>
  </si>
  <si>
    <t>Grand Pavilion</t>
  </si>
  <si>
    <t>Inland Real Estate Corp</t>
  </si>
  <si>
    <t>25 Mervyn properties</t>
  </si>
  <si>
    <t>Apax Partners Inc</t>
  </si>
  <si>
    <t>Fenway Partners LLC</t>
  </si>
  <si>
    <t>Targus Group International Inc</t>
  </si>
  <si>
    <t>International Speedway Corp</t>
  </si>
  <si>
    <t>Pikes Peak International Raceway/Old</t>
  </si>
  <si>
    <t>Retail Center in Buford</t>
  </si>
  <si>
    <t>GreenLeaf Auto Recyclers LLC</t>
  </si>
  <si>
    <t>Bingo Hall/SC</t>
  </si>
  <si>
    <t>Atlas Gas Products Inc</t>
  </si>
  <si>
    <t>Steven Creek Porsche Audi Franchise</t>
  </si>
  <si>
    <t>Starwood Capital Group LLC</t>
  </si>
  <si>
    <t>Mammoth Mountain Ski Area</t>
  </si>
  <si>
    <t>Dowdle Gas Inc</t>
  </si>
  <si>
    <t>Fidelity Capital Investors Inc</t>
  </si>
  <si>
    <t>Avtek Corp</t>
  </si>
  <si>
    <t>Bluegreen Corp</t>
  </si>
  <si>
    <t>Yachtsman Resort Hotel</t>
  </si>
  <si>
    <t>Walgreen Co</t>
  </si>
  <si>
    <t>Schraft's A Walgreens Specialty Pharmacy LLC</t>
  </si>
  <si>
    <t>Great Wolf Resorts Inc</t>
  </si>
  <si>
    <t>2 Great Wolf Properties</t>
  </si>
  <si>
    <t>Shopping center/SC</t>
  </si>
  <si>
    <t>Rykomusic Inc</t>
  </si>
  <si>
    <t>Evergreen Copyright Acquisition LLC</t>
  </si>
  <si>
    <t>Music Publishing business</t>
  </si>
  <si>
    <t>Graeber Brothers Inc</t>
  </si>
  <si>
    <t>TEC of California Inc</t>
  </si>
  <si>
    <t>Medium Duty Truck Franchise</t>
  </si>
  <si>
    <t>Grand Theatre 14</t>
  </si>
  <si>
    <t>Orchard Supply Hardware Stores Corp/Old</t>
  </si>
  <si>
    <t>Media Magic Inc</t>
  </si>
  <si>
    <t>CTGX Mining Inc</t>
  </si>
  <si>
    <t>Orangebox Entertainment Inc</t>
  </si>
  <si>
    <t>Headwaters Inc</t>
  </si>
  <si>
    <t>Max Manufacturing &amp; Roofing LLC</t>
  </si>
  <si>
    <t>Retail Resources LP</t>
  </si>
  <si>
    <t>Lucky Lou's restaurants</t>
  </si>
  <si>
    <t>Midwest Energy Emissions Corp</t>
  </si>
  <si>
    <t>Rebel Crew Films Inc</t>
  </si>
  <si>
    <t>Claim Jumper Restaurants</t>
  </si>
  <si>
    <t>Prentice Capital Management LP</t>
  </si>
  <si>
    <t>Goody's LLC</t>
  </si>
  <si>
    <t>Viacom Inc</t>
  </si>
  <si>
    <t>IFilm Corp</t>
  </si>
  <si>
    <t>Hilco Trading Co Inc</t>
  </si>
  <si>
    <t>Certain assets/Medic</t>
  </si>
  <si>
    <t>New 2 You Thrift</t>
  </si>
  <si>
    <t>Alternafuels Inc</t>
  </si>
  <si>
    <t>Big Dog Auctions</t>
  </si>
  <si>
    <t>Management Group,Fairmont Capital Inc,Centre Partners Management LLC (Fund: Centre Capital...</t>
  </si>
  <si>
    <t>Garden Fresh Restaurant Corp</t>
  </si>
  <si>
    <t>Xynergy Holdings Inc</t>
  </si>
  <si>
    <t>Image Globe Solutions Inc</t>
  </si>
  <si>
    <t>HFS Technology Inc</t>
  </si>
  <si>
    <t>Consumer/Commercial Credit Receivables</t>
  </si>
  <si>
    <t>Johnson &amp; Johnson</t>
  </si>
  <si>
    <t>Rembrandt Brand</t>
  </si>
  <si>
    <t>Cars4u Ltd</t>
  </si>
  <si>
    <t>Pawnee Leasing Corp</t>
  </si>
  <si>
    <t>Amherst Technologies LLC</t>
  </si>
  <si>
    <t>PC Connection Inc</t>
  </si>
  <si>
    <t>Amherst Technologies assets</t>
  </si>
  <si>
    <t>Cush Automotive Group Inc</t>
  </si>
  <si>
    <t>Allamuchy Transport Inc</t>
  </si>
  <si>
    <t>VirTra Systems Inc</t>
  </si>
  <si>
    <t>Suntech Inc/AZ</t>
  </si>
  <si>
    <t>Ports Petroleum Co Inc</t>
  </si>
  <si>
    <t>7 convenience stores</t>
  </si>
  <si>
    <t>Scotts Miracle-Gro Co/The</t>
  </si>
  <si>
    <t>Gutwein &amp; Co Inc</t>
  </si>
  <si>
    <t>Transnational Automotive Group Inc</t>
  </si>
  <si>
    <t>Parker Automotive Group International Inc</t>
  </si>
  <si>
    <t>Loncor Resources Inc</t>
  </si>
  <si>
    <t>Golfers' Warehouse Inc</t>
  </si>
  <si>
    <t>US Business assets</t>
  </si>
  <si>
    <t>Northern Department Store Group</t>
  </si>
  <si>
    <t>Pure Romance Inc</t>
  </si>
  <si>
    <t>Petra Fashions</t>
  </si>
  <si>
    <t>DnC Multimedia Corp</t>
  </si>
  <si>
    <t>AutoTrack GPS</t>
  </si>
  <si>
    <t>Home Pharmacy of California</t>
  </si>
  <si>
    <t>Artistic Toy Manufacturing Inc</t>
  </si>
  <si>
    <t>Art's Toy Manufacturing Co</t>
  </si>
  <si>
    <t>XMH Corp 1</t>
  </si>
  <si>
    <t>Simply Blue and Seymour Blue</t>
  </si>
  <si>
    <t>GDJ Retail LLC</t>
  </si>
  <si>
    <t>R &amp; S Parts and Service</t>
  </si>
  <si>
    <t>PostWorks New York LLC</t>
  </si>
  <si>
    <t>Lab at Moving Images/The</t>
  </si>
  <si>
    <t>Circuit City Stores Inc/Consolidated</t>
  </si>
  <si>
    <t>MusicNow LLC</t>
  </si>
  <si>
    <t>American Financial Group Inc/OH</t>
  </si>
  <si>
    <t>Cincinnati Reds LLC</t>
  </si>
  <si>
    <t>Knight Acquisition Corp</t>
  </si>
  <si>
    <t>Renaissance Entertainment Corp</t>
  </si>
  <si>
    <t>Louisiana-Pacific Corp</t>
  </si>
  <si>
    <t>KP Building Products Inc</t>
  </si>
  <si>
    <t>Vinyl siding business</t>
  </si>
  <si>
    <t>First Advantage Corp</t>
  </si>
  <si>
    <t>Mortgage credit reporting assets</t>
  </si>
  <si>
    <t>Royster-Clark Ltd</t>
  </si>
  <si>
    <t>Rentech Inc</t>
  </si>
  <si>
    <t>Rentech Nitrogen LLC</t>
  </si>
  <si>
    <t>Nautic Partners LLC</t>
  </si>
  <si>
    <t>Management Group,Prudential Capital Partners (Fund: Prudential Capital Partners LP)</t>
  </si>
  <si>
    <t>Skyline Chili Inc</t>
  </si>
  <si>
    <t>Apollo Global Management LLC</t>
  </si>
  <si>
    <t>Linens 'n Things Inc</t>
  </si>
  <si>
    <t>IPtimize Inc</t>
  </si>
  <si>
    <t>IPtimize Inc/Old</t>
  </si>
  <si>
    <t>Reorganized Magna Entertainment Corp</t>
  </si>
  <si>
    <t>Millennium Gaming Inc,Oaktree Capital Group LLC (Fund: OCM Real Estate Opportunities Fund ...</t>
  </si>
  <si>
    <t>Washington Trotting Association Inc,MEC Pennsylvania Racing,Mountain Laurel Racing Inc</t>
  </si>
  <si>
    <t>Packaging Advantage Corp</t>
  </si>
  <si>
    <t>Sunset Island Group Inc</t>
  </si>
  <si>
    <t>Titan Global Entertainment Inc/Old</t>
  </si>
  <si>
    <t>Sightsound Technologies Inc</t>
  </si>
  <si>
    <t>Central Penn Sales LLC</t>
  </si>
  <si>
    <t>SPI Holdings LLC,Retail West Inc</t>
  </si>
  <si>
    <t>2 ShopKo stores/Reno</t>
  </si>
  <si>
    <t>Benihana Inc</t>
  </si>
  <si>
    <t>Teppanyaki restaurant</t>
  </si>
  <si>
    <t>Krispy Kreme Doughnuts Inc</t>
  </si>
  <si>
    <t>Kremeko Inc</t>
  </si>
  <si>
    <t>PureDepth Inc</t>
  </si>
  <si>
    <t>PureDepth Inc/Old</t>
  </si>
  <si>
    <t>Somerset Entertainment Income Fund</t>
  </si>
  <si>
    <t>Compass Productions Inc</t>
  </si>
  <si>
    <t>Genuine Parts Co</t>
  </si>
  <si>
    <t>Storhaus Inventory Services LLC</t>
  </si>
  <si>
    <t>Coach and motor assets</t>
  </si>
  <si>
    <t>Golden Gate Capital Corp</t>
  </si>
  <si>
    <t>Draper's &amp; Damon's Inc</t>
  </si>
  <si>
    <t>Appleseed's Inc</t>
  </si>
  <si>
    <t>Superluminal Entertainment Inc</t>
  </si>
  <si>
    <t>Private label credit card business</t>
  </si>
  <si>
    <t>Artist Innovations Inc</t>
  </si>
  <si>
    <t>V2 Music Holdings PLC</t>
  </si>
  <si>
    <t>Sheridan Square Entertainment Inc</t>
  </si>
  <si>
    <t>V2 North America</t>
  </si>
  <si>
    <t>Property/ 2 industry tenants</t>
  </si>
  <si>
    <t>Chattem Inc</t>
  </si>
  <si>
    <t>Mentholatum Co Inc/The</t>
  </si>
  <si>
    <t>pHisoderm line</t>
  </si>
  <si>
    <t>Waring Oil Co LLC</t>
  </si>
  <si>
    <t>39 convenience stores/MS &amp; LA</t>
  </si>
  <si>
    <t>Rovi Guides Inc</t>
  </si>
  <si>
    <t>Greenspun Media Group,ZelnickMedia Corp,Spire Capital Partners LLC (Fund: Spire Capital Pa...</t>
  </si>
  <si>
    <t>Skymall Inc</t>
  </si>
  <si>
    <t>Murray's Inc</t>
  </si>
  <si>
    <t>Swish King LLC</t>
  </si>
  <si>
    <t>Cavaliers Holdings LLC</t>
  </si>
  <si>
    <t>Youbet.com Inc</t>
  </si>
  <si>
    <t>United Tote Co</t>
  </si>
  <si>
    <t>Monitor Co Inc</t>
  </si>
  <si>
    <t>Recycled Paper Greetings Inc</t>
  </si>
  <si>
    <t>CDI Group Inc</t>
  </si>
  <si>
    <t>DH2 Studio Inc</t>
  </si>
  <si>
    <t>Techline studio/Chicago</t>
  </si>
  <si>
    <t>A-Reliable Auto Parts &amp; Wreckers Inc</t>
  </si>
  <si>
    <t>3 retail propane cos</t>
  </si>
  <si>
    <t>AGL Investments Inc</t>
  </si>
  <si>
    <t>Kimpton Hospitality Partners LP</t>
  </si>
  <si>
    <t>Caleo Resort &amp; Spa</t>
  </si>
  <si>
    <t>Creveling Dodge</t>
  </si>
  <si>
    <t>Daiei Inc/The</t>
  </si>
  <si>
    <t>Don Quijote Holdings Co Ltd</t>
  </si>
  <si>
    <t>Dai' EI USA Inc/The</t>
  </si>
  <si>
    <t>Atari Inc</t>
  </si>
  <si>
    <t>Feature film rights</t>
  </si>
  <si>
    <t>Axiom Automotive Technologies Inc</t>
  </si>
  <si>
    <t>Sentinel Automotive Distributors Inc</t>
  </si>
  <si>
    <t>Lee-Moore Oil Co</t>
  </si>
  <si>
    <t>19 convenience stores</t>
  </si>
  <si>
    <t>Dave &amp; Buster's Inc</t>
  </si>
  <si>
    <t>Hallmark Cards Inc</t>
  </si>
  <si>
    <t>Kelso &amp; Co LP</t>
  </si>
  <si>
    <t>RHI Entertainment Distribution LLC</t>
  </si>
  <si>
    <t>World Poker Store Inc/The</t>
  </si>
  <si>
    <t>World Poker Store Inc/MN</t>
  </si>
  <si>
    <t>Highland Capital Corp,Advent International Corp (Fund: Advent International GPE V LP),High...</t>
  </si>
  <si>
    <t>Lululemon Athletica Inc</t>
  </si>
  <si>
    <t>Priority Pharmacy</t>
  </si>
  <si>
    <t>Government</t>
  </si>
  <si>
    <t>FONATUR</t>
  </si>
  <si>
    <t>Loreto Bay Co</t>
  </si>
  <si>
    <t>Camino Real Resort</t>
  </si>
  <si>
    <t>Newcastle Partners LP,Steel Partners II LP</t>
  </si>
  <si>
    <t>Amreit</t>
  </si>
  <si>
    <t>Market at Lake Houston</t>
  </si>
  <si>
    <t>Pernod Ricard SA</t>
  </si>
  <si>
    <t>Carlyle Group LP/The (Fund: Carlyle Partners IV LP),Bain Capital Partners LLC (Fund: Bain ...</t>
  </si>
  <si>
    <t>Dunkin' Brands Inc</t>
  </si>
  <si>
    <t>Century Casinos Inc</t>
  </si>
  <si>
    <t>Century Resorts Alberta Inc</t>
  </si>
  <si>
    <t>Iowa Paint Manufacturing</t>
  </si>
  <si>
    <t>PPG Industries Inc</t>
  </si>
  <si>
    <t>42 architectural coatings service centers</t>
  </si>
  <si>
    <t>PriceGrabber.com Inc</t>
  </si>
  <si>
    <t>RMD Entertainment Group</t>
  </si>
  <si>
    <t>AccessKeyIP Inc</t>
  </si>
  <si>
    <t>Music &amp; Video content</t>
  </si>
  <si>
    <t>Viega GmbH + Co KG</t>
  </si>
  <si>
    <t>Vanguard Group</t>
  </si>
  <si>
    <t>Aritzia LP</t>
  </si>
  <si>
    <t>Mr Tux and Squire Tux</t>
  </si>
  <si>
    <t>Cala Corp</t>
  </si>
  <si>
    <t>Gaslight mall/office building</t>
  </si>
  <si>
    <t>Electro Rent Corp</t>
  </si>
  <si>
    <t>Rush Computer Rentals Inc</t>
  </si>
  <si>
    <t>Best Buy Co Inc</t>
  </si>
  <si>
    <t>Pacific Sales Kitchen and Bath Centers LLC</t>
  </si>
  <si>
    <t>EnerCrest Inc</t>
  </si>
  <si>
    <t>Joe's Concrete &amp; Lumber</t>
  </si>
  <si>
    <t>Lodging Capital Partners LLC</t>
  </si>
  <si>
    <t>Rank Group PLC</t>
  </si>
  <si>
    <t>MacAndrews &amp; Forbes Holdings Inc</t>
  </si>
  <si>
    <t>Deluxe Entertainment Services Group Inc</t>
  </si>
  <si>
    <t>BETonSPORTS PLC</t>
  </si>
  <si>
    <t>3 online sportsbooks &amp; casinos businesses</t>
  </si>
  <si>
    <t>Amerigo Energy Inc</t>
  </si>
  <si>
    <t>Strategic Gaming Investments Inc/Old</t>
  </si>
  <si>
    <t>Texas Roadhouse Inc</t>
  </si>
  <si>
    <t>11 Franchise restaurants</t>
  </si>
  <si>
    <t>Traditional Floorcovering of Florida Inc</t>
  </si>
  <si>
    <t>Heritage Media Corp/Canada</t>
  </si>
  <si>
    <t>Heritage Ventures Ltd</t>
  </si>
  <si>
    <t>Ourpet's Co</t>
  </si>
  <si>
    <t>Pet Zone Products Ltd</t>
  </si>
  <si>
    <t>Monarch Casino &amp; Resort Inc</t>
  </si>
  <si>
    <t>LLH Gaming Inc</t>
  </si>
  <si>
    <t>Windjammer Capital Investors LLC</t>
  </si>
  <si>
    <t>Circle Peak Capital LLC</t>
  </si>
  <si>
    <t>Shari's Management Corp</t>
  </si>
  <si>
    <t>Janitex Rug Service Corp</t>
  </si>
  <si>
    <t>Matworks Co LLC/The</t>
  </si>
  <si>
    <t>InPhonic Inc</t>
  </si>
  <si>
    <t>Teleplus World Corp</t>
  </si>
  <si>
    <t>Certain Liberty Wireless assets</t>
  </si>
  <si>
    <t>PGMI Inc</t>
  </si>
  <si>
    <t>PGMI Inc/Old</t>
  </si>
  <si>
    <t>Global Entertainment Holdings Inc</t>
  </si>
  <si>
    <t>Global Universal Film Group Inc</t>
  </si>
  <si>
    <t>Photosights.com</t>
  </si>
  <si>
    <t>ShutterStock Images LLC</t>
  </si>
  <si>
    <t>Catalyst Resource Group Inc</t>
  </si>
  <si>
    <t>Yves Castaldi Corp</t>
  </si>
  <si>
    <t>Damon's International Inc</t>
  </si>
  <si>
    <t>Alliance Development Group LLC</t>
  </si>
  <si>
    <t>Damon's Grill</t>
  </si>
  <si>
    <t>Naomi LLC</t>
  </si>
  <si>
    <t>Revenge Designs Inc</t>
  </si>
  <si>
    <t>Esteem product line</t>
  </si>
  <si>
    <t>Wendy's International Inc</t>
  </si>
  <si>
    <t>Restaurant real estate portfolio</t>
  </si>
  <si>
    <t>Parallel Investment Partners LLC</t>
  </si>
  <si>
    <t>Weisman Discount Home Centers Inc</t>
  </si>
  <si>
    <t>Goldner Hawn Johnson &amp; Morrison Inc</t>
  </si>
  <si>
    <t>Westlake Hardware Inc</t>
  </si>
  <si>
    <t>Laird Norton Co LLC</t>
  </si>
  <si>
    <t>Fidelity Capital Corp</t>
  </si>
  <si>
    <t>American Remanufacturers Inc</t>
  </si>
  <si>
    <t>Black Diamond Capital Management LLC/IL</t>
  </si>
  <si>
    <t>Select operations</t>
  </si>
  <si>
    <t>Harris Research Inc</t>
  </si>
  <si>
    <t>Ristorante Forli</t>
  </si>
  <si>
    <t>MACH 8</t>
  </si>
  <si>
    <t>Home video and VOD distribution rights</t>
  </si>
  <si>
    <t>Gtech Spa</t>
  </si>
  <si>
    <t>GTECH Holdings Corp</t>
  </si>
  <si>
    <t>PF Chang's China Bistro Inc</t>
  </si>
  <si>
    <t>Pei-Wei Asian Diner</t>
  </si>
  <si>
    <t>Hughes Supply Inc</t>
  </si>
  <si>
    <t>Bonnaroo Restaurant Group</t>
  </si>
  <si>
    <t>6 Chili's restaurants</t>
  </si>
  <si>
    <t>Widget Post Production</t>
  </si>
  <si>
    <t>Audio post facility/CA</t>
  </si>
  <si>
    <t>NRDC Equity Partners LLC</t>
  </si>
  <si>
    <t>Lord &amp; Taylor division</t>
  </si>
  <si>
    <t>Arctic Zone</t>
  </si>
  <si>
    <t>Daytona Blazers junior hockey team</t>
  </si>
  <si>
    <t>Action Tapes Inc</t>
  </si>
  <si>
    <t>Bernina of America</t>
  </si>
  <si>
    <t>Great Notions product line</t>
  </si>
  <si>
    <t>Lexus &amp; Toyota franchises/Manchester</t>
  </si>
  <si>
    <t>Beyond Wireless</t>
  </si>
  <si>
    <t>FTS Group Inc</t>
  </si>
  <si>
    <t>3 Metro PCS authorized retail wireless locations</t>
  </si>
  <si>
    <t>MarineMax Inc</t>
  </si>
  <si>
    <t>Port Arrowhead Group</t>
  </si>
  <si>
    <t>Fun Technologies Ltd</t>
  </si>
  <si>
    <t>Octopi Inc</t>
  </si>
  <si>
    <t>Burlington Coat Factory Warehouse Corp</t>
  </si>
  <si>
    <t>Trilantic Capital Partners</t>
  </si>
  <si>
    <t>13 Coins Inc</t>
  </si>
  <si>
    <t>13 Coins Acquisition LLC</t>
  </si>
  <si>
    <t>intellectual property &amp; assets</t>
  </si>
  <si>
    <t>Kimco Realty Corp,CVS Caremark Corp,SUPERVALU Inc,Schottenstein Stores Corp,Klaff Realty L...</t>
  </si>
  <si>
    <t>Albertsons LLC</t>
  </si>
  <si>
    <t>Management Group,Crescent Capital Group LP (Fund: TCW/Crescent Mezzanine Partners IV LP),L...</t>
  </si>
  <si>
    <t>Sports Authority Inc/The</t>
  </si>
  <si>
    <t>LIFT Productions</t>
  </si>
  <si>
    <t>Weinstein Co LLC/The</t>
  </si>
  <si>
    <t>Rights to Factory Girl</t>
  </si>
  <si>
    <t>Peace Arch Entertainment Group Inc</t>
  </si>
  <si>
    <t>kaBOOM! Entertainment Inc</t>
  </si>
  <si>
    <t>Cafe del Caribe</t>
  </si>
  <si>
    <t>Coffee Partners Hawaii</t>
  </si>
  <si>
    <t>Blimpie International Inc</t>
  </si>
  <si>
    <t>Kahala Corp</t>
  </si>
  <si>
    <t>Blimpie Quick-Service Restaurant Chain</t>
  </si>
  <si>
    <t>Propane Gas Service Inc</t>
  </si>
  <si>
    <t>Northlight Capital LLC</t>
  </si>
  <si>
    <t>United Sleep Products Inc</t>
  </si>
  <si>
    <t>Johnson &amp; Dix Fuel Corp</t>
  </si>
  <si>
    <t>Irving Oil Corp</t>
  </si>
  <si>
    <t>7 convenience retail stores</t>
  </si>
  <si>
    <t>G+G Retail Inc</t>
  </si>
  <si>
    <t>Wet Seal Inc/The</t>
  </si>
  <si>
    <t>Assets of G&amp;G Retail Inc</t>
  </si>
  <si>
    <t>Platinum Equity LLC</t>
  </si>
  <si>
    <t>Weld Wheel Industries Inc</t>
  </si>
  <si>
    <t>Wasserman Media Group LLC</t>
  </si>
  <si>
    <t>Athlete management business</t>
  </si>
  <si>
    <t>Chico's FAS Inc</t>
  </si>
  <si>
    <t>Fitigues</t>
  </si>
  <si>
    <t>Paul Lee's Chinese Kitchen</t>
  </si>
  <si>
    <t>Bolivar Mining Corp</t>
  </si>
  <si>
    <t>Moonlight Graham Inc</t>
  </si>
  <si>
    <t>New Country Motor Car Group</t>
  </si>
  <si>
    <t>Mercedes Benz of Palm Beach</t>
  </si>
  <si>
    <t>Private Investors</t>
  </si>
  <si>
    <t>Retna</t>
  </si>
  <si>
    <t>Kinderhook Industries LLC</t>
  </si>
  <si>
    <t>Lodis Accessories Inc</t>
  </si>
  <si>
    <t>CTF Supply Ltd</t>
  </si>
  <si>
    <t>Roanoke Cos Inc</t>
  </si>
  <si>
    <t>HB Fuller Co</t>
  </si>
  <si>
    <t>Assets of Roanoke Cos Group Inc</t>
  </si>
  <si>
    <t>Steve's Shoes Inc</t>
  </si>
  <si>
    <t>WR Grace &amp; Co</t>
  </si>
  <si>
    <t>Del Taco Holdings Inc,Grotech Ventures,Leonard Green &amp; Partners LP (Fund: Green Equity Inv...</t>
  </si>
  <si>
    <t>DEL Taco Restaurants Inc</t>
  </si>
  <si>
    <t>Millennium Prime Inc</t>
  </si>
  <si>
    <t>KwikSystems LLC</t>
  </si>
  <si>
    <t>Five Crowns Capital</t>
  </si>
  <si>
    <t>American Sand &amp; Gravel LLC</t>
  </si>
  <si>
    <t>Prepaid Enterprises LLC</t>
  </si>
  <si>
    <t>K-BOB'S USA Inc</t>
  </si>
  <si>
    <t>Star Buffet Inc</t>
  </si>
  <si>
    <t>1 Mervyn store</t>
  </si>
  <si>
    <t>Prentice Capital Management LP,Holtzman Opportunity Fund LP</t>
  </si>
  <si>
    <t>Whitehall Jewelers Inc</t>
  </si>
  <si>
    <t>Panasonic Corp</t>
  </si>
  <si>
    <t>Vivendi SA</t>
  </si>
  <si>
    <t>Universal Studios Holding I Corp</t>
  </si>
  <si>
    <t>Queen Oil &amp; Gas Co</t>
  </si>
  <si>
    <t>Bank of America Corp</t>
  </si>
  <si>
    <t>Doskocil Manufacturing Co Inc</t>
  </si>
  <si>
    <t>Aspen Pet Products</t>
  </si>
  <si>
    <t>Glazed Investments LLC</t>
  </si>
  <si>
    <t>Westward Dough</t>
  </si>
  <si>
    <t>12 stores/US</t>
  </si>
  <si>
    <t>Aeon Co Ltd</t>
  </si>
  <si>
    <t>J Jill Group Inc/The</t>
  </si>
  <si>
    <t>eDoorways International Corp</t>
  </si>
  <si>
    <t>Arcade Lithographing Corp</t>
  </si>
  <si>
    <t>Arrow Mart Convenience Stores</t>
  </si>
  <si>
    <t>18 properties/NY</t>
  </si>
  <si>
    <t>Boscovs Department Store LLC</t>
  </si>
  <si>
    <t>10 Federated stores</t>
  </si>
  <si>
    <t>New Frontier Media Inc</t>
  </si>
  <si>
    <t>MRG Entertainment Inc</t>
  </si>
  <si>
    <t>Hudson's Bay Co/Old</t>
  </si>
  <si>
    <t>Private label credit card &amp; financial service assets</t>
  </si>
  <si>
    <t>Autohaus Mercedes-Benz dealership</t>
  </si>
  <si>
    <t>Sleep Country Canada Income Fund</t>
  </si>
  <si>
    <t>Sleep America Inc</t>
  </si>
  <si>
    <t>Van Dyne Crotty Inc</t>
  </si>
  <si>
    <t>Cintas Corp</t>
  </si>
  <si>
    <t>MoTV</t>
  </si>
  <si>
    <t>Great American Marine/Yacht service facility</t>
  </si>
  <si>
    <t>Pfingsten Partners LLC</t>
  </si>
  <si>
    <t>Transamerican Auto Parts Co Inc</t>
  </si>
  <si>
    <t>Four Wheel Drive Hardware LLC</t>
  </si>
  <si>
    <t>Legends Gaming LLC</t>
  </si>
  <si>
    <t>2 properties/LA</t>
  </si>
  <si>
    <t>eMeta Corp</t>
  </si>
  <si>
    <t>BCBG Max Azria Group Inc</t>
  </si>
  <si>
    <t>Golf Galaxy Inc</t>
  </si>
  <si>
    <t>GolfWorks/The</t>
  </si>
  <si>
    <t>Canadian Valley Medical Solutions Inc</t>
  </si>
  <si>
    <t>Berkshire Fashions Inc,Equalizer Accessories Ltd</t>
  </si>
  <si>
    <t>Cousins Properties Inc</t>
  </si>
  <si>
    <t>MW Golf Properties LLC</t>
  </si>
  <si>
    <t>Shops At World Golf Village/The</t>
  </si>
  <si>
    <t>Parthenon Capital LLC (Fund: Parthenon Investors LP),ABS Capital Partners LP (Fund: ABS Ca...</t>
  </si>
  <si>
    <t>Restaurant Technologies Inc</t>
  </si>
  <si>
    <t>Checkers Drive-In Restaurants Inc</t>
  </si>
  <si>
    <t>Westfield Group</t>
  </si>
  <si>
    <t>15 Federated department stores</t>
  </si>
  <si>
    <t>Henkel AG &amp; Co KGaA</t>
  </si>
  <si>
    <t>US deodorant brands</t>
  </si>
  <si>
    <t>Stage Stores Inc</t>
  </si>
  <si>
    <t>BC Moore &amp; Sons Inc</t>
  </si>
  <si>
    <t>Trans World Entertainment Corp</t>
  </si>
  <si>
    <t>Musicland Group Inc</t>
  </si>
  <si>
    <t>All World Resources Corp</t>
  </si>
  <si>
    <t>China Yingxia International Inc</t>
  </si>
  <si>
    <t>Warner Nutraceutical International Inc</t>
  </si>
  <si>
    <t>SUPERVALU Inc</t>
  </si>
  <si>
    <t>Dollar Tree Inc</t>
  </si>
  <si>
    <t>Deal$ stores</t>
  </si>
  <si>
    <t>PRE Holdings Inc</t>
  </si>
  <si>
    <t>President Riverboat Casino-Missouri Inc</t>
  </si>
  <si>
    <t>Zero Zone Inc</t>
  </si>
  <si>
    <t>VF Corp</t>
  </si>
  <si>
    <t>Jordache Enterprises Inc</t>
  </si>
  <si>
    <t>Earl Jean brand</t>
  </si>
  <si>
    <t>Kalahari Resorts</t>
  </si>
  <si>
    <t>Trappers Turn Golf Club</t>
  </si>
  <si>
    <t>MidOcean Partners LP</t>
  </si>
  <si>
    <t>Palace Entertainment Holdings LLC</t>
  </si>
  <si>
    <t>Schussler Creative Inc</t>
  </si>
  <si>
    <t>T-Rex</t>
  </si>
  <si>
    <t>Jean Coutu Group PJC Inc/The</t>
  </si>
  <si>
    <t>Office Building</t>
  </si>
  <si>
    <t>Aristocrat Leisure Ltd</t>
  </si>
  <si>
    <t>PokerTek Inc</t>
  </si>
  <si>
    <t>Royal Dutch/Shell Group of Cos</t>
  </si>
  <si>
    <t>40 stores and 13 fuel supply contracts</t>
  </si>
  <si>
    <t>TruFoods Systems Inc</t>
  </si>
  <si>
    <t>Nathan's Famous Inc</t>
  </si>
  <si>
    <t>Trademarks and other intellectual property/Arthur Treacher's brand</t>
  </si>
  <si>
    <t>6510965 Canada,6519610 Canada</t>
  </si>
  <si>
    <t>National Logistics Service assets</t>
  </si>
  <si>
    <t>K-B0B'S Steakhouse/Dumas TX</t>
  </si>
  <si>
    <t>Fund: Parallel 2005 Equity Fund LP</t>
  </si>
  <si>
    <t>Marmalade LLC</t>
  </si>
  <si>
    <t>Mitsui Comtek Corp</t>
  </si>
  <si>
    <t>NuVision US Inc</t>
  </si>
  <si>
    <t>Fortune Plastic &amp; Metal Inc</t>
  </si>
  <si>
    <t>Riverside Auto Parts of Rahway Inc</t>
  </si>
  <si>
    <t>Evolve Wellness Studio and Spa</t>
  </si>
  <si>
    <t>Apax Partners LLP</t>
  </si>
  <si>
    <t>Pictage Inc</t>
  </si>
  <si>
    <t>Shop-A-Snak Food Mart Inc</t>
  </si>
  <si>
    <t>Arcapita Bank BSCC</t>
  </si>
  <si>
    <t>Bijoux Terner LP Ltd</t>
  </si>
  <si>
    <t>Para Laboratories Inc</t>
  </si>
  <si>
    <t>Merrill Lynch &amp; Co Inc</t>
  </si>
  <si>
    <t>NPC International Inc</t>
  </si>
  <si>
    <t>Kohl's Corp</t>
  </si>
  <si>
    <t>AAMCO Transmissions Inc</t>
  </si>
  <si>
    <t>Bain Capital Partners LLC,Ignition Partners LLC</t>
  </si>
  <si>
    <t>La La Media Inc</t>
  </si>
  <si>
    <t>Red Robin Gourmet Burgers Inc</t>
  </si>
  <si>
    <t>13 Red Robin franchised restaurants</t>
  </si>
  <si>
    <t>FreedomRoads &amp; Camping World</t>
  </si>
  <si>
    <t>Bill Waits RV Super Center</t>
  </si>
  <si>
    <t>Tennis Channel Inc/The</t>
  </si>
  <si>
    <t>Trans-Global Capital Management Inc</t>
  </si>
  <si>
    <t>Half Way to Tucson Inc</t>
  </si>
  <si>
    <t>Domino's Pizza Inc</t>
  </si>
  <si>
    <t>Catalog Holdings Inc</t>
  </si>
  <si>
    <t>Norm Thompson Outfitters Inc</t>
  </si>
  <si>
    <t>Nu Skin Enterprises Inc</t>
  </si>
  <si>
    <t>Rights to Pharmanex BioPhotonic Scanner</t>
  </si>
  <si>
    <t>HS Maiman RX Inc</t>
  </si>
  <si>
    <t>18 acre facility</t>
  </si>
  <si>
    <t>America's Car-Mart Inc/TX</t>
  </si>
  <si>
    <t>Dan's Auto Sales Inc</t>
  </si>
  <si>
    <t>Whittier Goodrich Pharmacy Inc</t>
  </si>
  <si>
    <t>Hispania Capital Partners LLC</t>
  </si>
  <si>
    <t>Master Restaurant Developers LLC</t>
  </si>
  <si>
    <t>Kennametal Inc</t>
  </si>
  <si>
    <t>MSC Industrial Direct Co Inc</t>
  </si>
  <si>
    <t>J&amp;L America Inc</t>
  </si>
  <si>
    <t>UAG Minneapolis B1 LLC</t>
  </si>
  <si>
    <t>Cracker Barrel Old Country Store Inc</t>
  </si>
  <si>
    <t>Prada Holding BV</t>
  </si>
  <si>
    <t>Link Theory Holdings Co Ltd</t>
  </si>
  <si>
    <t>Helmut Lang</t>
  </si>
  <si>
    <t>Imperial Chemical Industries PLC</t>
  </si>
  <si>
    <t>Shaw Mudge &amp; Co</t>
  </si>
  <si>
    <t>Capcirc Properties LLC</t>
  </si>
  <si>
    <t>6 Convenience stores</t>
  </si>
  <si>
    <t>Quiznos Corp</t>
  </si>
  <si>
    <t>Dufry AG</t>
  </si>
  <si>
    <t>Eurotrade/United States</t>
  </si>
  <si>
    <t>Ventura Distribution Inc</t>
  </si>
  <si>
    <t>Great Southern Peterbilt Inc</t>
  </si>
  <si>
    <t>Assets/Peterbilt and Hino truck dealership</t>
  </si>
  <si>
    <t>Tom's of Maine Inc</t>
  </si>
  <si>
    <t>PrimEdge Inc</t>
  </si>
  <si>
    <t>DigiKidz Holdings Inc</t>
  </si>
  <si>
    <t>Garrity Industries Inc</t>
  </si>
  <si>
    <t>Ryko Corp</t>
  </si>
  <si>
    <t>Dolphin Direct Equity Partners LP,Braidol Acquisition Corp</t>
  </si>
  <si>
    <t>Boston Restaurant Associates Inc</t>
  </si>
  <si>
    <t>Warwick Mall LLC</t>
  </si>
  <si>
    <t>Macy's at Warwick Mall</t>
  </si>
  <si>
    <t>Proteonomix Inc</t>
  </si>
  <si>
    <t>National Stem Cell Inc</t>
  </si>
  <si>
    <t>Standex International Corp</t>
  </si>
  <si>
    <t>State Street Refrig Inc</t>
  </si>
  <si>
    <t>Standex Direct</t>
  </si>
  <si>
    <t>Good Time Stores Inc</t>
  </si>
  <si>
    <t>Alon USA Energy Inc</t>
  </si>
  <si>
    <t>40 Good Time Stores</t>
  </si>
  <si>
    <t>Sanibel Steak House</t>
  </si>
  <si>
    <t>Tuscan Kitchen Concept</t>
  </si>
  <si>
    <t>Gambino Apparel Group Inc/Old</t>
  </si>
  <si>
    <t>Black Castle Developments Holdings Inc</t>
  </si>
  <si>
    <t>North American Football League</t>
  </si>
  <si>
    <t>Mix &amp; Burn LLC</t>
  </si>
  <si>
    <t>NV Perricone MD Cosmeceuticals</t>
  </si>
  <si>
    <t>Marks &amp; Spencer Group PLC</t>
  </si>
  <si>
    <t>MTN Capital Partners,Angelo Gordon &amp; Co LP (Fund: AG Realty Fund VI LP)</t>
  </si>
  <si>
    <t>Kings Super Markets Inc</t>
  </si>
  <si>
    <t>Park Place Dealerships</t>
  </si>
  <si>
    <t>Point West Volvo</t>
  </si>
  <si>
    <t>Chain of 105 salons</t>
  </si>
  <si>
    <t>BBB Service Co Inc</t>
  </si>
  <si>
    <t>Sovereign Investment Co</t>
  </si>
  <si>
    <t>23 Wendy's locations</t>
  </si>
  <si>
    <t>Surfside-3 Marina Inc</t>
  </si>
  <si>
    <t>SchoolPop Inc,Vesdia Corp</t>
  </si>
  <si>
    <t>OneCause</t>
  </si>
  <si>
    <t>Vid3G Inc</t>
  </si>
  <si>
    <t>Nitro Lube Canada Ltd</t>
  </si>
  <si>
    <t>Scientific Games Corp</t>
  </si>
  <si>
    <t>H&amp;H Drug Store Inc</t>
  </si>
  <si>
    <t>Certain HIV/AIDS assets</t>
  </si>
  <si>
    <t>Silverleaf Resorts Inc</t>
  </si>
  <si>
    <t>Pinnacle Lodge</t>
  </si>
  <si>
    <t>Titan Holdings Group LLC</t>
  </si>
  <si>
    <t>62 restaurants</t>
  </si>
  <si>
    <t>EB Nevada Inc</t>
  </si>
  <si>
    <t>Spectrum Holding Inc</t>
  </si>
  <si>
    <t>90 Spectrum stores</t>
  </si>
  <si>
    <t>CORE Media Group Inc</t>
  </si>
  <si>
    <t>Muhammad Ali rights &amp; trademarks</t>
  </si>
  <si>
    <t>Estee Lauder Cos Inc/The</t>
  </si>
  <si>
    <t>Stila Corp</t>
  </si>
  <si>
    <t>Advanced Digital Chips Inc</t>
  </si>
  <si>
    <t>ADCUS Inc</t>
  </si>
  <si>
    <t>Unnamed Buyer,Goldman Sachs Capital Partners (Fund: GS Capital Partners V LP)</t>
  </si>
  <si>
    <t>STL Marketing Group Inc</t>
  </si>
  <si>
    <t>Safeguard Technology International Inc</t>
  </si>
  <si>
    <t>QUALCOMM Inc,Redpoint Ventures LLC,Highland Capital Partners,Universal Music Group Inc,MTV...</t>
  </si>
  <si>
    <t>Mars Inc</t>
  </si>
  <si>
    <t>S&amp;M NuTec LLC</t>
  </si>
  <si>
    <t>Ellman Cos</t>
  </si>
  <si>
    <t>Phoenix Coyotes NHL</t>
  </si>
  <si>
    <t>Global Water Asset Corp</t>
  </si>
  <si>
    <t>Water Bank of America Inc</t>
  </si>
  <si>
    <t>Grand Casino Biloxi</t>
  </si>
  <si>
    <t>Paradise Ridge Hydrocarbons Inc</t>
  </si>
  <si>
    <t>WatchIt Technologies Inc</t>
  </si>
  <si>
    <t>Festival Fun Parks LLC</t>
  </si>
  <si>
    <t>Jarden Corp</t>
  </si>
  <si>
    <t>Arius-Eickert Co</t>
  </si>
  <si>
    <t>Assets/Lake Charles</t>
  </si>
  <si>
    <t>Delta Gas Co</t>
  </si>
  <si>
    <t>Homestead Gas Co Inc</t>
  </si>
  <si>
    <t>Circle K convenience store portfolio</t>
  </si>
  <si>
    <t>Steve Shapiro Music</t>
  </si>
  <si>
    <t>Mediabistro Inc</t>
  </si>
  <si>
    <t>Music library</t>
  </si>
  <si>
    <t>Bionic Water Corp</t>
  </si>
  <si>
    <t>HIG Capital LLC</t>
  </si>
  <si>
    <t>Easy Gardener Products Inc</t>
  </si>
  <si>
    <t>eWorld Cos Inc</t>
  </si>
  <si>
    <t>Penthouse International Inc</t>
  </si>
  <si>
    <t>Jill Kelly Productions Inc</t>
  </si>
  <si>
    <t>Bear Stearns Cos LLC/The</t>
  </si>
  <si>
    <t>Everything But Water</t>
  </si>
  <si>
    <t>Tesoro Corp</t>
  </si>
  <si>
    <t>MYOB LLC</t>
  </si>
  <si>
    <t>6 retail sites</t>
  </si>
  <si>
    <t>Las Vegas TV Partners LLC</t>
  </si>
  <si>
    <t>CMX Century Productions</t>
  </si>
  <si>
    <t>Resource Finance &amp; Investment Ltd</t>
  </si>
  <si>
    <t>IDM International Ltd</t>
  </si>
  <si>
    <t>Oregon Resources Corp Inc</t>
  </si>
  <si>
    <t>Fragrance Xtreme Inc</t>
  </si>
  <si>
    <t>Privelege brand trademark</t>
  </si>
  <si>
    <t>Ruth's Hospitality Group Inc</t>
  </si>
  <si>
    <t>7 Franchised restaurants</t>
  </si>
  <si>
    <t>Fresno Dodge</t>
  </si>
  <si>
    <t>Immunotech Laboratories Inc</t>
  </si>
  <si>
    <t>Callaci Consulting Service Inc</t>
  </si>
  <si>
    <t>Knights Direct Ltd</t>
  </si>
  <si>
    <t>Home Decorators Collection</t>
  </si>
  <si>
    <t>Centene Corp</t>
  </si>
  <si>
    <t>OcuCare Systems Inc,AECC Total Vision Health Plan of Texas Inc,Opticare Ipa of New York In...</t>
  </si>
  <si>
    <t>Paivis Corp</t>
  </si>
  <si>
    <t>Capital Financial Holdings Inc</t>
  </si>
  <si>
    <t>DAW Inc</t>
  </si>
  <si>
    <t>Connor Pharmacy</t>
  </si>
  <si>
    <t>Syms Corp</t>
  </si>
  <si>
    <t>BNP Paribas SA</t>
  </si>
  <si>
    <t>Solidus Partners LLP</t>
  </si>
  <si>
    <t>Simon Property Group Inc</t>
  </si>
  <si>
    <t>7 Buildings</t>
  </si>
  <si>
    <t>Highmark Inc</t>
  </si>
  <si>
    <t>Evergreen Gaming Corp</t>
  </si>
  <si>
    <t>Washington Gaming Inc</t>
  </si>
  <si>
    <t>Latham Motors</t>
  </si>
  <si>
    <t>Shelton Development Co</t>
  </si>
  <si>
    <t>13 franchised restaurants/TN</t>
  </si>
  <si>
    <t>Finesse &amp; Aqua hair care brands</t>
  </si>
  <si>
    <t>3 luxury optical retailing chains</t>
  </si>
  <si>
    <t>Viratech Corp</t>
  </si>
  <si>
    <t>Santana Mining Inc</t>
  </si>
  <si>
    <t>Macerich Co/The</t>
  </si>
  <si>
    <t>11 department store locations</t>
  </si>
  <si>
    <t>Cox Lumber Co</t>
  </si>
  <si>
    <t>Wilshire Restaurant Group Inc</t>
  </si>
  <si>
    <t>Zensho Holdings Co Ltd</t>
  </si>
  <si>
    <t>Catalina Restaurant Group Inc</t>
  </si>
  <si>
    <t>Eco-Shift Power Corp</t>
  </si>
  <si>
    <t>International Fight League Inc/Old</t>
  </si>
  <si>
    <t>Roundit Ltd</t>
  </si>
  <si>
    <t>Fairground Gaming Holdings PLC</t>
  </si>
  <si>
    <t>Spin Palace Group/The</t>
  </si>
  <si>
    <t>Washington Nationals</t>
  </si>
  <si>
    <t>Major League Baseball</t>
  </si>
  <si>
    <t>Washington Nationals Baseball Club LLC</t>
  </si>
  <si>
    <t>Baseball Expos LP</t>
  </si>
  <si>
    <t>OSP Group Inc</t>
  </si>
  <si>
    <t>Sportsman's Guide Inc/The</t>
  </si>
  <si>
    <t>Microholdings US Inc</t>
  </si>
  <si>
    <t>Video West Entertainment Corp</t>
  </si>
  <si>
    <t>Live Nation Entertainment Inc</t>
  </si>
  <si>
    <t>BASE Entertainment</t>
  </si>
  <si>
    <t>Theatre projects</t>
  </si>
  <si>
    <t>Quad-C Management Inc</t>
  </si>
  <si>
    <t>Sticky Fingers Inc</t>
  </si>
  <si>
    <t>Adult nightclub/TX</t>
  </si>
  <si>
    <t>WP Carey Inc</t>
  </si>
  <si>
    <t>6 grocery stores</t>
  </si>
  <si>
    <t>SKO Group Holding Corp</t>
  </si>
  <si>
    <t>Spirit Finance Corp/Old</t>
  </si>
  <si>
    <t>Vornado Realty Trust</t>
  </si>
  <si>
    <t>Filene's building</t>
  </si>
  <si>
    <t>Odimo Inc</t>
  </si>
  <si>
    <t>Ice.com Inc</t>
  </si>
  <si>
    <t>Diamond and jewelry business assets</t>
  </si>
  <si>
    <t>Beach Group LLC</t>
  </si>
  <si>
    <t>Sanibel Steak House/FT Myers</t>
  </si>
  <si>
    <t>Aims Worldwide Inc</t>
  </si>
  <si>
    <t>Fast Forward</t>
  </si>
  <si>
    <t>Wyndcrest Holdings LLC</t>
  </si>
  <si>
    <t>Digital Domain</t>
  </si>
  <si>
    <t>Carolina Archery Products Inc</t>
  </si>
  <si>
    <t>IDT Corp</t>
  </si>
  <si>
    <t>Starz Media LLC</t>
  </si>
  <si>
    <t>Rush River Group Llc</t>
  </si>
  <si>
    <t>Winmark Corp</t>
  </si>
  <si>
    <t>Sub-Urban Brands Inc</t>
  </si>
  <si>
    <t>Sub-Urban Industries Inc</t>
  </si>
  <si>
    <t>Orchard Enterprises Inc</t>
  </si>
  <si>
    <t>Compass Records</t>
  </si>
  <si>
    <t>Affinity Gaming</t>
  </si>
  <si>
    <t>Sands Regent LLC/The</t>
  </si>
  <si>
    <t>Office Depot Inc</t>
  </si>
  <si>
    <t>Allied Office Products Inc</t>
  </si>
  <si>
    <t>Istithmar World PJSC</t>
  </si>
  <si>
    <t>Loehmann's Holdings Inc</t>
  </si>
  <si>
    <t>Cedar Fair LP</t>
  </si>
  <si>
    <t>Paramount Parks Inc</t>
  </si>
  <si>
    <t>Hermes Trading Co Inc</t>
  </si>
  <si>
    <t>Briad Group/The</t>
  </si>
  <si>
    <t>Main Street Restaurant Group Inc</t>
  </si>
  <si>
    <t>Sibling Entertainment Group Inc</t>
  </si>
  <si>
    <t>Sibling Group Holdings Inc</t>
  </si>
  <si>
    <t>Certain subsidiaries &amp; group assets</t>
  </si>
  <si>
    <t>General Growth Properties Inc</t>
  </si>
  <si>
    <t>9 Stores</t>
  </si>
  <si>
    <t>Alabama Auto Center Inc</t>
  </si>
  <si>
    <t>Lavar Holdings Inc</t>
  </si>
  <si>
    <t>Nextera Enterprises Inc</t>
  </si>
  <si>
    <t>Ellin Lavar Textures rights</t>
  </si>
  <si>
    <t>Jimlar Corp</t>
  </si>
  <si>
    <t>Payless Inc</t>
  </si>
  <si>
    <t>American Eagle brand</t>
  </si>
  <si>
    <t>Raptor Pharmaceuticals Corp/Old</t>
  </si>
  <si>
    <t>Raptor Pharmaceutical Inc</t>
  </si>
  <si>
    <t>Manitowoc Co Inc/The</t>
  </si>
  <si>
    <t>McCann's Engineering &amp; Manufacturing Co LLC,McCann's de Mexico SA de CV</t>
  </si>
  <si>
    <t>Migerobe Inc</t>
  </si>
  <si>
    <t>Retail jewelry business</t>
  </si>
  <si>
    <t>Direct Holdings Worldwide LLC</t>
  </si>
  <si>
    <t>LV Liquidation Corp</t>
  </si>
  <si>
    <t>Perry Capital LLC</t>
  </si>
  <si>
    <t>Exclusive Resorts LLC</t>
  </si>
  <si>
    <t>Rice Planter Carpets</t>
  </si>
  <si>
    <t>Starwood Hotels &amp; Resorts Worldwide Inc,Catterton Partners (Fund: Catterton Partners VI LP)</t>
  </si>
  <si>
    <t>Culinary Concepts by Jean-Georges LLC</t>
  </si>
  <si>
    <t>Boyd Gaming Corp</t>
  </si>
  <si>
    <t>Dania Jai-Alai</t>
  </si>
  <si>
    <t>Agents Auto Glass</t>
  </si>
  <si>
    <t>HydraLogic Systems Inc</t>
  </si>
  <si>
    <t>Bayou City Mosquito Control Ltd</t>
  </si>
  <si>
    <t>ValCom Inc/FL</t>
  </si>
  <si>
    <t>Media City Studios</t>
  </si>
  <si>
    <t>building</t>
  </si>
  <si>
    <t>CHS Capital LLC</t>
  </si>
  <si>
    <t>Home Acres Building Supply Co</t>
  </si>
  <si>
    <t>Castle Harlan Inc (Fund: Castle Harlan Partners IV LP),Bruckmann Rosser Sherrill &amp; Co LLC ...</t>
  </si>
  <si>
    <t>BRAVO Development Inc</t>
  </si>
  <si>
    <t>Strawbridge's/Cherry Hill</t>
  </si>
  <si>
    <t>SportsNet</t>
  </si>
  <si>
    <t>Happy Harry's Inc</t>
  </si>
  <si>
    <t>Xenia Capital Management</t>
  </si>
  <si>
    <t>Zomax Inc/OH</t>
  </si>
  <si>
    <t>SVI Systems Inc</t>
  </si>
  <si>
    <t>SVI Media Inc</t>
  </si>
  <si>
    <t>Hospitality Business</t>
  </si>
  <si>
    <t>Lupa International Inc</t>
  </si>
  <si>
    <t>Wynn Resorts Ltd</t>
  </si>
  <si>
    <t>Le Reve rights</t>
  </si>
  <si>
    <t>Visant Corp</t>
  </si>
  <si>
    <t>Lifetouch Inc</t>
  </si>
  <si>
    <t>Photography ops</t>
  </si>
  <si>
    <t>RentPath Inc</t>
  </si>
  <si>
    <t>Enthusiast Media LLC</t>
  </si>
  <si>
    <t>Crafts group</t>
  </si>
  <si>
    <t>Consolidated Pictures Group Inc</t>
  </si>
  <si>
    <t>Silverscreen Acquisitions Inc</t>
  </si>
  <si>
    <t>Longs Drug Stores Corp</t>
  </si>
  <si>
    <t>Network Pharmaceuticals Inc</t>
  </si>
  <si>
    <t>Moore Oil Co LLC</t>
  </si>
  <si>
    <t>24 stores Stop-n-Save stores</t>
  </si>
  <si>
    <t>Advanced Beauty Solutions LLC</t>
  </si>
  <si>
    <t>Cirtran Corp</t>
  </si>
  <si>
    <t>Yuma Palms Regional Shopping Center</t>
  </si>
  <si>
    <t>Six Flags Inc</t>
  </si>
  <si>
    <t>Columbus Zoo and Aquarium/The</t>
  </si>
  <si>
    <t>Outdoor water park</t>
  </si>
  <si>
    <t>Cisco Systems Inc,Transcosmos Inc,Lions Gate Entertainment Corp,DISH Network Corp,Index Co...</t>
  </si>
  <si>
    <t>CinemaNow Inc</t>
  </si>
  <si>
    <t>Credit Program</t>
  </si>
  <si>
    <t>Invus Group LLC/The</t>
  </si>
  <si>
    <t>BlueMercury Inc</t>
  </si>
  <si>
    <t>Insight Enterprises Inc</t>
  </si>
  <si>
    <t>TeleTech Holdings Inc</t>
  </si>
  <si>
    <t>Direct Alliance Corp</t>
  </si>
  <si>
    <t>Fast Petroleum Inc</t>
  </si>
  <si>
    <t>Delek US Holdings Inc</t>
  </si>
  <si>
    <t>43 Retail fuel and convenience stores</t>
  </si>
  <si>
    <t>Mariposa Software Inc</t>
  </si>
  <si>
    <t>One Liberty Properties Inc</t>
  </si>
  <si>
    <t>Movie Theater property</t>
  </si>
  <si>
    <t>Wellington Equestrian Partners LLC</t>
  </si>
  <si>
    <t>Palm Beach Equestrian Country Club</t>
  </si>
  <si>
    <t>9 Movie Theaters</t>
  </si>
  <si>
    <t>Rooney Holdings Inc</t>
  </si>
  <si>
    <t>Hope Lumber &amp; Supply Co</t>
  </si>
  <si>
    <t>Sally Beauty Holdings Inc</t>
  </si>
  <si>
    <t>Clayton Dubilier &amp; Rice LLC</t>
  </si>
  <si>
    <t>Panavision Inc</t>
  </si>
  <si>
    <t>Valor SP Holdings LLC</t>
  </si>
  <si>
    <t>Sizzler Platter Inc</t>
  </si>
  <si>
    <t>Maximo Impact Inc</t>
  </si>
  <si>
    <t>6 Fuel Mate stores</t>
  </si>
  <si>
    <t>2 Convenience stores</t>
  </si>
  <si>
    <t>Chancellor Records</t>
  </si>
  <si>
    <t>JW Childs Equity Partners LP</t>
  </si>
  <si>
    <t>Lion Capital LLP</t>
  </si>
  <si>
    <t>American Safety Razor Co LLC</t>
  </si>
  <si>
    <t>Titan Management Services LLC</t>
  </si>
  <si>
    <t>First Automated Systems &amp; Technology Inc</t>
  </si>
  <si>
    <t>Eversole Motor</t>
  </si>
  <si>
    <t>Liberty Inn and Conference Center</t>
  </si>
  <si>
    <t>Patrick Henry Inn</t>
  </si>
  <si>
    <t>Charlotte Russe Holding Inc</t>
  </si>
  <si>
    <t>44 Rampage Locations</t>
  </si>
  <si>
    <t>Medmark Inc</t>
  </si>
  <si>
    <t>Bravo Sports Corp</t>
  </si>
  <si>
    <t>Horizon Group Properties Inc</t>
  </si>
  <si>
    <t>Prescott Group LLC</t>
  </si>
  <si>
    <t>6 Outlet Shopping Centers</t>
  </si>
  <si>
    <t>UAV Corp</t>
  </si>
  <si>
    <t>Content Media Corp Ltd</t>
  </si>
  <si>
    <t>Home video assets</t>
  </si>
  <si>
    <t>TowerBrook Capital Partners LP</t>
  </si>
  <si>
    <t>SP Capital Holdings LLC</t>
  </si>
  <si>
    <t>Allumination FilmWorks LLC</t>
  </si>
  <si>
    <t>Blackstone Group LP (Fund: Blackstone Capital Partners V LP),Bain Capital Partners LLC (Fu...</t>
  </si>
  <si>
    <t>Michaels Stores Inc/Old</t>
  </si>
  <si>
    <t>Universal Studios Inc</t>
  </si>
  <si>
    <t>Computer Builders Warehouse</t>
  </si>
  <si>
    <t>HOB Entertainment Inc</t>
  </si>
  <si>
    <t>Riviera Concepts Inc</t>
  </si>
  <si>
    <t>Elizabeth Arden Inc</t>
  </si>
  <si>
    <t>Fragrance Brand</t>
  </si>
  <si>
    <t>C&amp;M Pharmacy LLC</t>
  </si>
  <si>
    <t>Li &amp; Fung Ltd</t>
  </si>
  <si>
    <t>Rosetti Handbags &amp; Accessories Ltd</t>
  </si>
  <si>
    <t>Evergreen Pacific Partners</t>
  </si>
  <si>
    <t>Gene Juarez Salons LLC</t>
  </si>
  <si>
    <t>CashNetUSA CO LLC</t>
  </si>
  <si>
    <t>Arcadia Resources Inc</t>
  </si>
  <si>
    <t>Wellscripts LLC</t>
  </si>
  <si>
    <t>Filene's store/Boston</t>
  </si>
  <si>
    <t>Pecos Diamond Steakhouse</t>
  </si>
  <si>
    <t>Natural Health Trends Corp</t>
  </si>
  <si>
    <t>eKaire.com Inc</t>
  </si>
  <si>
    <t>Adult nightclub/San Antonio</t>
  </si>
  <si>
    <t>Debmar-Mercury LLC</t>
  </si>
  <si>
    <t>Nexia Holdings Inc</t>
  </si>
  <si>
    <t>Landis LLC</t>
  </si>
  <si>
    <t>Centerfolds Gentleman's Club</t>
  </si>
  <si>
    <t>CVS Caremark Corp</t>
  </si>
  <si>
    <t>MinuteClinic LLC</t>
  </si>
  <si>
    <t>Trunk Ltd</t>
  </si>
  <si>
    <t>Leonard Green &amp; Partners LP (Fund: Green Equity Investors IV LP),TPG Capital (Fund: TPG Pa...</t>
  </si>
  <si>
    <t>Petco Animal Supplies Inc</t>
  </si>
  <si>
    <t>St Jude Pharmacy &amp; Surgical Supply Corp</t>
  </si>
  <si>
    <t>HIV Customer List</t>
  </si>
  <si>
    <t>DGSE Cos Inc</t>
  </si>
  <si>
    <t>Superior Galleries Inc</t>
  </si>
  <si>
    <t>Ellis Park</t>
  </si>
  <si>
    <t>Life Uniform Co/The</t>
  </si>
  <si>
    <t>Uniform City Corp</t>
  </si>
  <si>
    <t>Spectrum Equity Investors LP</t>
  </si>
  <si>
    <t>Bug Music Ltd</t>
  </si>
  <si>
    <t>Liberty Restaurant Group LP</t>
  </si>
  <si>
    <t>Restaurant Assets</t>
  </si>
  <si>
    <t>Strawbridge/Philadelphia</t>
  </si>
  <si>
    <t>Casino City Inc</t>
  </si>
  <si>
    <t>Gambling Portal Webmasters Association</t>
  </si>
  <si>
    <t>Vi-Jon Inc</t>
  </si>
  <si>
    <t>Thoma Bravo LLC</t>
  </si>
  <si>
    <t>Excelligence Learning Corp</t>
  </si>
  <si>
    <t>Rainmaker Entertainment Inc</t>
  </si>
  <si>
    <t>Mainframe Entertainment Inc</t>
  </si>
  <si>
    <t>Marshall Distributing LLC</t>
  </si>
  <si>
    <t>Electronic Courseware Systems Inc</t>
  </si>
  <si>
    <t>Target Corp</t>
  </si>
  <si>
    <t>4 stores</t>
  </si>
  <si>
    <t>Level 3 Communications Inc</t>
  </si>
  <si>
    <t>Software Spectrum Inc</t>
  </si>
  <si>
    <t>Basketball Club of Seattle LLC</t>
  </si>
  <si>
    <t>Basketball Club LLC</t>
  </si>
  <si>
    <t>Seattle Supersonics,Seattle Storm</t>
  </si>
  <si>
    <t>Allen-Edmonds Shoe Corp</t>
  </si>
  <si>
    <t>EverGreen Copyrights</t>
  </si>
  <si>
    <t>MC Hammer music catalog</t>
  </si>
  <si>
    <t>Crutchfield/Glitterfish music catalog</t>
  </si>
  <si>
    <t>Integrated Copyright Group Inc</t>
  </si>
  <si>
    <t>Schlegel Sports</t>
  </si>
  <si>
    <t>Tacoma Rainiers</t>
  </si>
  <si>
    <t>38 Carl's Jr restaurants</t>
  </si>
  <si>
    <t>Visalia Auto Plaza Associates LLC</t>
  </si>
  <si>
    <t>Visalia Auto Plaza</t>
  </si>
  <si>
    <t>43 Franchised Restaurants</t>
  </si>
  <si>
    <t>Supplement and Nutrition Technologies Inc</t>
  </si>
  <si>
    <t>CI Capital Partners LLC</t>
  </si>
  <si>
    <t>Ryan's Restaurant Group LLC</t>
  </si>
  <si>
    <t>AmTote International Inc</t>
  </si>
  <si>
    <t>Simmons Bedding Co</t>
  </si>
  <si>
    <t>Sleep Train Inc/The</t>
  </si>
  <si>
    <t>Sleep Country USA Inc</t>
  </si>
  <si>
    <t>Sears Manage My Home Inc</t>
  </si>
  <si>
    <t>Tim Hortons Inc</t>
  </si>
  <si>
    <t>Funds</t>
  </si>
  <si>
    <t>Suburban Energy Services Group LLC</t>
  </si>
  <si>
    <t>Suburban Propane Partners LP</t>
  </si>
  <si>
    <t>Incentive distribution rights</t>
  </si>
  <si>
    <t>Great Circle Family Foods</t>
  </si>
  <si>
    <t>3 Krispy Kreme stores/CA</t>
  </si>
  <si>
    <t>Glimcher Realty Trust</t>
  </si>
  <si>
    <t>Kaufmann's</t>
  </si>
  <si>
    <t>Alticor Inc</t>
  </si>
  <si>
    <t>Gurwitch Products LLC</t>
  </si>
  <si>
    <t>Gunnallen Financial Inc,Falcon Investment Advisors LLC (Fund: Falcon Mezzanine Partners II...</t>
  </si>
  <si>
    <t>Stanton Carpet Corp</t>
  </si>
  <si>
    <t>Central Concrete Supermix Inc</t>
  </si>
  <si>
    <t>Tarmac America LLC</t>
  </si>
  <si>
    <t>PDS Imaging</t>
  </si>
  <si>
    <t>MPO International SA</t>
  </si>
  <si>
    <t>Trancas Capital</t>
  </si>
  <si>
    <t>2 family entertainment centers</t>
  </si>
  <si>
    <t>Early Elvis Costello Catalog</t>
  </si>
  <si>
    <t>Sunshine Holdings Inc</t>
  </si>
  <si>
    <t>MH Equity Investors</t>
  </si>
  <si>
    <t>Australian Gold Inc</t>
  </si>
  <si>
    <t>Carson Pirie Scott Inc</t>
  </si>
  <si>
    <t>Cinema Circle Inc</t>
  </si>
  <si>
    <t>Freeman Spogli &amp; Co Inc</t>
  </si>
  <si>
    <t>Mattress Giant Corp</t>
  </si>
  <si>
    <t>Nordstrom Oil Co</t>
  </si>
  <si>
    <t>33 HandiMart stores</t>
  </si>
  <si>
    <t>Century Theatres Inc/CA</t>
  </si>
  <si>
    <t>ComVest Group Inc</t>
  </si>
  <si>
    <t>SKY440 Inc</t>
  </si>
  <si>
    <t>Brooks Mays Music Co</t>
  </si>
  <si>
    <t>SB Capital Investment Corp/United States,Tiger Capital Group LLC</t>
  </si>
  <si>
    <t>Angelo Gordon &amp; Co LP</t>
  </si>
  <si>
    <t>White Hen Pantry Inc</t>
  </si>
  <si>
    <t>Buick franchise/Oklahoma City</t>
  </si>
  <si>
    <t>WHP Holdings Corp</t>
  </si>
  <si>
    <t>Fortress Investment Group LLC</t>
  </si>
  <si>
    <t>Performance Nissan dealership</t>
  </si>
  <si>
    <t>Dealer Computer Services Inc</t>
  </si>
  <si>
    <t>Voyager Learning Co</t>
  </si>
  <si>
    <t>CPD electronic parts catalog business</t>
  </si>
  <si>
    <t>Savers Inc</t>
  </si>
  <si>
    <t>Gold Toe Investment Corp</t>
  </si>
  <si>
    <t>Moretz Inc</t>
  </si>
  <si>
    <t>Water Water Everywhere</t>
  </si>
  <si>
    <t>Victory International USA LLC</t>
  </si>
  <si>
    <t>Perry Ellis fragrance rights</t>
  </si>
  <si>
    <t>Consolidated Restaurants Ltd LLC</t>
  </si>
  <si>
    <t>Great American Food Chain Inc/The</t>
  </si>
  <si>
    <t>Kokopelli Franchise Co LLC</t>
  </si>
  <si>
    <t>Sparkys Oil Co</t>
  </si>
  <si>
    <t>24 stores in West Central Florida</t>
  </si>
  <si>
    <t>Sunburst Shutters</t>
  </si>
  <si>
    <t>Plantation Shutter Co</t>
  </si>
  <si>
    <t>Fibrocell Science Inc/Old</t>
  </si>
  <si>
    <t>Agera Laboratories Inc</t>
  </si>
  <si>
    <t>Bramton Co/The</t>
  </si>
  <si>
    <t>Tame Products</t>
  </si>
  <si>
    <t>Mexican Restaurants Inc</t>
  </si>
  <si>
    <t>Mission Burritos</t>
  </si>
  <si>
    <t>Lone Star Funds</t>
  </si>
  <si>
    <t>Center Cut Hospitality Inc</t>
  </si>
  <si>
    <t>Blue Equity LLC</t>
  </si>
  <si>
    <t>3 SFX Sports divisions</t>
  </si>
  <si>
    <t>Nautic Partners LLC (Fund: Chisholm Partners IV LP),Sentinel Capital Partners (Fund: Senti...</t>
  </si>
  <si>
    <t>Falconhead Capital LLC</t>
  </si>
  <si>
    <t>Our365 Inc</t>
  </si>
  <si>
    <t>DCWV Inc,Pressed Petals</t>
  </si>
  <si>
    <t>Holland Oil Co</t>
  </si>
  <si>
    <t>54 Stores in the Midwest</t>
  </si>
  <si>
    <t>Larry's Market</t>
  </si>
  <si>
    <t>Food Markets Northwest</t>
  </si>
  <si>
    <t>Larry's Market/Queen Anne location</t>
  </si>
  <si>
    <t>NACCO Industries Inc</t>
  </si>
  <si>
    <t>Le Gourmet Chef Inc</t>
  </si>
  <si>
    <t>Walton Street Capital LLC,Century Golf Partners,SCS Real Estate Advisors</t>
  </si>
  <si>
    <t>PGA National Resort and Spa</t>
  </si>
  <si>
    <t>Premere Resources Corp</t>
  </si>
  <si>
    <t>Ladies Health &amp; Fitness USA</t>
  </si>
  <si>
    <t>Eckerd Corp,Brooks Stores</t>
  </si>
  <si>
    <t>Wise-Kids Development</t>
  </si>
  <si>
    <t>SilverSun Technologies Inc</t>
  </si>
  <si>
    <t>Sage Software's MAS 200</t>
  </si>
  <si>
    <t>Sports Concepts Inc</t>
  </si>
  <si>
    <t>Sports Concepts Inc/Old</t>
  </si>
  <si>
    <t>First Cash Financial Services Inc</t>
  </si>
  <si>
    <t>Auto Master</t>
  </si>
  <si>
    <t>39 Pizza Hut locations</t>
  </si>
  <si>
    <t>Fuego Enterprises Inc</t>
  </si>
  <si>
    <t>14 television stations</t>
  </si>
  <si>
    <t>Hollywood Media Corp</t>
  </si>
  <si>
    <t>New York Times Co/The</t>
  </si>
  <si>
    <t>Baseline StudioSystems Inc</t>
  </si>
  <si>
    <t>Brazos Private Equity Partners LLC</t>
  </si>
  <si>
    <t>Catterton Partners (Fund: Catterton Partners VI LP),Oak Investment Partners (Fund: Oak Inv...</t>
  </si>
  <si>
    <t>Cheddar's Inc</t>
  </si>
  <si>
    <t>Field &amp; Stream Licenses Co</t>
  </si>
  <si>
    <t>Sweater.com Inc</t>
  </si>
  <si>
    <t>Paramount Cards Inc</t>
  </si>
  <si>
    <t>Pier 1 Imports Inc</t>
  </si>
  <si>
    <t>Private-label credit card operations</t>
  </si>
  <si>
    <t>Liquidity Services Inc</t>
  </si>
  <si>
    <t>Southern Textile Recycling</t>
  </si>
  <si>
    <t>Bath Petroleum Storage Inc</t>
  </si>
  <si>
    <t>Bath Storage facility</t>
  </si>
  <si>
    <t>Edson Electric Supply Inc</t>
  </si>
  <si>
    <t>Four dealerships</t>
  </si>
  <si>
    <t>Ocean Properties Ltd</t>
  </si>
  <si>
    <t>Lido Beach Resort</t>
  </si>
  <si>
    <t>ACE Gaming LLC</t>
  </si>
  <si>
    <t>Firelands Energy Service,Country Gas Inc,Deyo Fuels</t>
  </si>
  <si>
    <t>Steelcase Inc</t>
  </si>
  <si>
    <t>Softcare Innovations Inc</t>
  </si>
  <si>
    <t>Carabella Corp</t>
  </si>
  <si>
    <t>McDonald's Corp</t>
  </si>
  <si>
    <t>Chipotle Mexican Grill Inc</t>
  </si>
  <si>
    <t>Digital Rights Agency LLC</t>
  </si>
  <si>
    <t>Zag.com Inc</t>
  </si>
  <si>
    <t>CU Auto Sales</t>
  </si>
  <si>
    <t>Global Entertainment Partners</t>
  </si>
  <si>
    <t>KK Digital</t>
  </si>
  <si>
    <t>Scanlan Management LLC</t>
  </si>
  <si>
    <t>25 Jack in the Box restaurants</t>
  </si>
  <si>
    <t>Denny's Corp</t>
  </si>
  <si>
    <t>National Retail Properties Inc</t>
  </si>
  <si>
    <t>66 franchisee-operated restaurant</t>
  </si>
  <si>
    <t>Dominion Diamond Corp</t>
  </si>
  <si>
    <t>Harry Winston Inc</t>
  </si>
  <si>
    <t>Land Rover Fort Lauderdale</t>
  </si>
  <si>
    <t>Mitsubishi Corp,Sears Holdings Corp,AM Pappas &amp; Associates LLC,VantagePoint Capital Partne...</t>
  </si>
  <si>
    <t>Anthera Pharmaceuticals Inc</t>
  </si>
  <si>
    <t>Diedrich Coffee Inc</t>
  </si>
  <si>
    <t>Stores of Diedrich Coffee</t>
  </si>
  <si>
    <t>Niemann Foods Inc</t>
  </si>
  <si>
    <t>Ten branch stores</t>
  </si>
  <si>
    <t>X-Rite Inc</t>
  </si>
  <si>
    <t>Corporate headquarters property</t>
  </si>
  <si>
    <t>Irish Hospitalities Inc</t>
  </si>
  <si>
    <t>Marquee Holdings Inc</t>
  </si>
  <si>
    <t>4 Movie Theatres</t>
  </si>
  <si>
    <t>TufAmerica Inc</t>
  </si>
  <si>
    <t>Digital Rights to Music Catalog</t>
  </si>
  <si>
    <t>NBK Baseball Group LLC</t>
  </si>
  <si>
    <t>SFX Baseball Group</t>
  </si>
  <si>
    <t>North Country Hospitality Inc</t>
  </si>
  <si>
    <t>Tradequest International Inc</t>
  </si>
  <si>
    <t>Datawave Systems Inc</t>
  </si>
  <si>
    <t>iWatt Inc</t>
  </si>
  <si>
    <t>Simple Silicon Inc</t>
  </si>
  <si>
    <t>Solano World Travel Inc</t>
  </si>
  <si>
    <t>Integrity Media Inc</t>
  </si>
  <si>
    <t>InterMedia Partners LP</t>
  </si>
  <si>
    <t>Integrity Publishers Inc</t>
  </si>
  <si>
    <t>Two Jewel Food Stores Inc Branches</t>
  </si>
  <si>
    <t>Radio Systems Corp</t>
  </si>
  <si>
    <t>Invisible Technologies Inc</t>
  </si>
  <si>
    <t>Concept Acquisition LLC</t>
  </si>
  <si>
    <t>BUCA Inc</t>
  </si>
  <si>
    <t>Bertucci's Inc</t>
  </si>
  <si>
    <t>11 Vinny T's of Boston restaurants</t>
  </si>
  <si>
    <t>Lil' Drug Store Products Inc</t>
  </si>
  <si>
    <t>Prestige Brands Holdings Inc</t>
  </si>
  <si>
    <t>Wartner brand</t>
  </si>
  <si>
    <t>Najafi Cos LLC</t>
  </si>
  <si>
    <t>Sure Brand</t>
  </si>
  <si>
    <t>Northern Credit Bureaus Inc</t>
  </si>
  <si>
    <t>Millennium Gaming Inc</t>
  </si>
  <si>
    <t>Cannery Casino Resorts LLC</t>
  </si>
  <si>
    <t>EMI Group Ltd</t>
  </si>
  <si>
    <t>Argent Ventures LLC</t>
  </si>
  <si>
    <t>Capital Records Tower</t>
  </si>
  <si>
    <t>National Sports Services Inc</t>
  </si>
  <si>
    <t>Big Stick Media Corp</t>
  </si>
  <si>
    <t>Luxottica Group SpA</t>
  </si>
  <si>
    <t>Gordon Brothers Group LLC,Bruckmann Rosser Sherrill &amp; Co LLC (Fund: Bruckmann Rosser Sherr...</t>
  </si>
  <si>
    <t>Things Remembered Inc</t>
  </si>
  <si>
    <t>Gordon Brothers Group LLC</t>
  </si>
  <si>
    <t>Weston Presidio Service Co LLC (Fund: Weston Presidio V LP),Berkshire Partners LLC (Fund: ...</t>
  </si>
  <si>
    <t>Reo Starr</t>
  </si>
  <si>
    <t>RFE Investment Partners</t>
  </si>
  <si>
    <t>Gridiron Capital LLC</t>
  </si>
  <si>
    <t>McKenzie Sports Products LLC</t>
  </si>
  <si>
    <t>ABRY Partners LLC</t>
  </si>
  <si>
    <t>Cast &amp; Crew Payroll LLC</t>
  </si>
  <si>
    <t>Plus 8 Digital</t>
  </si>
  <si>
    <t>Broadcast stations assets</t>
  </si>
  <si>
    <t>Lemieux Group LP</t>
  </si>
  <si>
    <t>Pittsburgh Penguins</t>
  </si>
  <si>
    <t>NAVEX Global Inc</t>
  </si>
  <si>
    <t>National Shopping Service</t>
  </si>
  <si>
    <t>Teppanyaki restaurant/CO</t>
  </si>
  <si>
    <t>Royal Dutch Shell PLC</t>
  </si>
  <si>
    <t>236 sites</t>
  </si>
  <si>
    <t>Automotive Group</t>
  </si>
  <si>
    <t>Great American Corp,Unnamed Buyer</t>
  </si>
  <si>
    <t>MTS Inc</t>
  </si>
  <si>
    <t>5 consumer healthcare brands</t>
  </si>
  <si>
    <t>Manchester Inc/Canada</t>
  </si>
  <si>
    <t>Nice Cars Inc,Nice Cars Capital Acceptance Corp</t>
  </si>
  <si>
    <t>Emerging Vision Inc</t>
  </si>
  <si>
    <t>Combine Optical Management Corp</t>
  </si>
  <si>
    <t>Bruen Productions International Inc</t>
  </si>
  <si>
    <t>Fisher's Hoosier Propane</t>
  </si>
  <si>
    <t>JH Whitney Capital Partners LLC</t>
  </si>
  <si>
    <t>120 Joe's Crab Shack restaurants</t>
  </si>
  <si>
    <t>PCTV Inc</t>
  </si>
  <si>
    <t>3 dealerships</t>
  </si>
  <si>
    <t>Playmates Gentlemen's Club LLC</t>
  </si>
  <si>
    <t>Panebraska LLC</t>
  </si>
  <si>
    <t>13 Bakery cafes</t>
  </si>
  <si>
    <t>Party America Inc</t>
  </si>
  <si>
    <t>Major League Gaming Inc</t>
  </si>
  <si>
    <t>GameBattles.com</t>
  </si>
  <si>
    <t>Columbus Butane Co Inc</t>
  </si>
  <si>
    <t>Ross Stores Inc</t>
  </si>
  <si>
    <t>46 Albertsons real estate sites</t>
  </si>
  <si>
    <t>PVH Corp</t>
  </si>
  <si>
    <t>Superba Inc</t>
  </si>
  <si>
    <t>Sportingbet PLC</t>
  </si>
  <si>
    <t>Sportsbook.com</t>
  </si>
  <si>
    <t>Caliber Capital Group LLC</t>
  </si>
  <si>
    <t>Baja Fresh Mexican Grill restaurant chain</t>
  </si>
  <si>
    <t>Canadian Bank Note Co Ltd</t>
  </si>
  <si>
    <t>Creative Games International</t>
  </si>
  <si>
    <t>Getman's Gas Co</t>
  </si>
  <si>
    <t>1st Propane</t>
  </si>
  <si>
    <t>Leisure &amp; Gaming PLC</t>
  </si>
  <si>
    <t>Stockdale Investment Ltd</t>
  </si>
  <si>
    <t>VIP Management Services BV,Bon Bini Investments NV,ECom ServCorp Inc,Nine Holdings NV,EH G...</t>
  </si>
  <si>
    <t>Steakhouse Partners Inc</t>
  </si>
  <si>
    <t>7 steakhouse restaurants</t>
  </si>
  <si>
    <t>Richelieu Hardware Ltd</t>
  </si>
  <si>
    <t>Specialty Supplies Inc</t>
  </si>
  <si>
    <t>Orbit Digital</t>
  </si>
  <si>
    <t>Fazoli's Restaurants Inc</t>
  </si>
  <si>
    <t>Snap-on Inc</t>
  </si>
  <si>
    <t>Proquest Business Solutions Inc</t>
  </si>
  <si>
    <t>Black Starr &amp; Frost</t>
  </si>
  <si>
    <t>PrairieStone Pharmacy LLC</t>
  </si>
  <si>
    <t>Spartan Stores Inc</t>
  </si>
  <si>
    <t>Pharmacy operating assets</t>
  </si>
  <si>
    <t>THINKFilm</t>
  </si>
  <si>
    <t>4 Parisian department stores</t>
  </si>
  <si>
    <t>Motorola Solutions Inc,Goldman Sachs Group Inc/The,Sierra Ventures Management LLC (Fund: S...</t>
  </si>
  <si>
    <t>Canyon Capital Advisors LLC,Bruckmann Rosser Sherrill &amp; Co LLC (Fund: Bruckmann Rosser She...</t>
  </si>
  <si>
    <t>Logan's Roadhouse Inc</t>
  </si>
  <si>
    <t>MCG Capital Corp</t>
  </si>
  <si>
    <t>Spears Mattress Co</t>
  </si>
  <si>
    <t>Two automotive dealerships</t>
  </si>
  <si>
    <t>Caremark Rx Inc</t>
  </si>
  <si>
    <t>MGM Resorts International</t>
  </si>
  <si>
    <t>Primm Valley Resorts</t>
  </si>
  <si>
    <t>Spectra Group of Great Restaurants Inc</t>
  </si>
  <si>
    <t>McCormick &amp; Schmick's Seafood Restaurants Inc</t>
  </si>
  <si>
    <t>Boathouse restaurant business/The</t>
  </si>
  <si>
    <t>Indianapolis Motor Speedway Corp</t>
  </si>
  <si>
    <t>Motorsports Alliance LLC/The</t>
  </si>
  <si>
    <t>TVI Corp/Old</t>
  </si>
  <si>
    <t>Signature Special Event Services Inc</t>
  </si>
  <si>
    <t>International Creative Management Inc</t>
  </si>
  <si>
    <t>Classical Music Division</t>
  </si>
  <si>
    <t>American Basketball Association Inc</t>
  </si>
  <si>
    <t>American Basketball Association Inc/Old</t>
  </si>
  <si>
    <t>Trivest Partners LP</t>
  </si>
  <si>
    <t>Torquest Partners Inc</t>
  </si>
  <si>
    <t>Herbal Magic ULC</t>
  </si>
  <si>
    <t>Kate Spade LLC</t>
  </si>
  <si>
    <t>Copeland (Al) Enterprises</t>
  </si>
  <si>
    <t>Retail stores</t>
  </si>
  <si>
    <t>Idaho Chevron Center Inc</t>
  </si>
  <si>
    <t>Crossroads Convenience Center Business</t>
  </si>
  <si>
    <t>Hilco Merchant Resources LLC</t>
  </si>
  <si>
    <t>Onslow Holdings Inc</t>
  </si>
  <si>
    <t>Zoomoozik LLC</t>
  </si>
  <si>
    <t>Music assets</t>
  </si>
  <si>
    <t>Catterton Partners (Fund: Catterton Partners VI LP),Bain Capital Partners LLC (Fund: Bain ...</t>
  </si>
  <si>
    <t>Deer Management Co LLC</t>
  </si>
  <si>
    <t>Access 360 Media Inc</t>
  </si>
  <si>
    <t>Southcorp Capital Inc</t>
  </si>
  <si>
    <t>Erino Clothing Co</t>
  </si>
  <si>
    <t>Avnet Inc</t>
  </si>
  <si>
    <t>Access Distribution</t>
  </si>
  <si>
    <t>Hayes Brake LLC</t>
  </si>
  <si>
    <t>Answer Inc/CA</t>
  </si>
  <si>
    <t>Teachers Insurance &amp; Annuity Association of America</t>
  </si>
  <si>
    <t>Mall of America</t>
  </si>
  <si>
    <t>Goode Partners LLC</t>
  </si>
  <si>
    <t>Chuy's Comida Deluxe</t>
  </si>
  <si>
    <t>Drift on Inn Roadhouse Casino LLC,Hollywood Shoreline Casino LLC</t>
  </si>
  <si>
    <t>2 Casinos</t>
  </si>
  <si>
    <t>InterAmerican Gaming Inc</t>
  </si>
  <si>
    <t>Tartan Downs Raceway</t>
  </si>
  <si>
    <t>Kate Spade &amp; Co</t>
  </si>
  <si>
    <t>Congress Jewelers</t>
  </si>
  <si>
    <t>E.S. Originals Inc</t>
  </si>
  <si>
    <t>ESNY division</t>
  </si>
  <si>
    <t>Neways International</t>
  </si>
  <si>
    <t>Summit Global Logistics Inc</t>
  </si>
  <si>
    <t>Maritime Holdings US Logistics Inc</t>
  </si>
  <si>
    <t>Zia Partners LLC</t>
  </si>
  <si>
    <t>Zia Park Racetrack &amp; Black Gold Casino</t>
  </si>
  <si>
    <t>Borders Group Inc</t>
  </si>
  <si>
    <t>Western Sizzlin restaurant</t>
  </si>
  <si>
    <t>Dick's Sporting Goods Inc</t>
  </si>
  <si>
    <t>Paradise Bakery &amp; Cafe Inc</t>
  </si>
  <si>
    <t>Purple Cow Investments Ltd</t>
  </si>
  <si>
    <t>NutriOne Corp</t>
  </si>
  <si>
    <t>Trademark Library</t>
  </si>
  <si>
    <t>PC Group Inc</t>
  </si>
  <si>
    <t>Twincraft Inc</t>
  </si>
  <si>
    <t>Crown Theatres</t>
  </si>
  <si>
    <t>12 theaters</t>
  </si>
  <si>
    <t>Banks Corp</t>
  </si>
  <si>
    <t>Universal Forest Products Inc</t>
  </si>
  <si>
    <t>Banks lumber division</t>
  </si>
  <si>
    <t>La Senza Corp</t>
  </si>
  <si>
    <t>CoMedia Corp</t>
  </si>
  <si>
    <t>Diversified Entertainment Properties Inc</t>
  </si>
  <si>
    <t>Distant Lands Trading Co</t>
  </si>
  <si>
    <t>Java Trading Co LLC</t>
  </si>
  <si>
    <t>Merrick Group/The</t>
  </si>
  <si>
    <t>Home Decor Products Inc</t>
  </si>
  <si>
    <t>NationBlinds.com</t>
  </si>
  <si>
    <t>Audax Group LP</t>
  </si>
  <si>
    <t>AAMP of America</t>
  </si>
  <si>
    <t>Burrill &amp; Co LLC,Great Spirit Ventures LLC,Prolog Ventures LLC,Brooke Private Equity Assoc...</t>
  </si>
  <si>
    <t>Natural Dentist Inc</t>
  </si>
  <si>
    <t>Yuhe International Inc</t>
  </si>
  <si>
    <t>Loyal TV Inc</t>
  </si>
  <si>
    <t>Fouts Bros UD-GMC Inc</t>
  </si>
  <si>
    <t>NetShops Inc</t>
  </si>
  <si>
    <t>Thralow Inc</t>
  </si>
  <si>
    <t>Leonard Green &amp; Partners LP (Fund: Green Equity Investors V LP),TPG Capital (Fund: TPG Par...</t>
  </si>
  <si>
    <t>David's Bridal Inc,Priscilla of Boston Inc</t>
  </si>
  <si>
    <t>Seahouses Holdings Ltd</t>
  </si>
  <si>
    <t>Men's Wearhouse Inc/The</t>
  </si>
  <si>
    <t>After Hours Formalwear Inc</t>
  </si>
  <si>
    <t>Vision Sports Entertainment Network</t>
  </si>
  <si>
    <t>Chelsey Direct LLC</t>
  </si>
  <si>
    <t>Fuqi International Inc</t>
  </si>
  <si>
    <t>VT Marketing Services Inc</t>
  </si>
  <si>
    <t>SI Restructuring Inc</t>
  </si>
  <si>
    <t>Woodwind &amp; The Brasswind/The</t>
  </si>
  <si>
    <t>Sbarro Licensing Inc</t>
  </si>
  <si>
    <t>Infusion Brands International Inc</t>
  </si>
  <si>
    <t>OmniReliant Corp</t>
  </si>
  <si>
    <t>Hometown Acquisition I Corp</t>
  </si>
  <si>
    <t>Hometown Auto Retailers Inc</t>
  </si>
  <si>
    <t>Lucidiom Inc</t>
  </si>
  <si>
    <t>Trevoli Ltd</t>
  </si>
  <si>
    <t>Novus Acquisition &amp; Development Corp</t>
  </si>
  <si>
    <t>Capri International Inc</t>
  </si>
  <si>
    <t>Colonial Capital Inn</t>
  </si>
  <si>
    <t>Thor Equities LLC</t>
  </si>
  <si>
    <t>Astroland Amusement Park</t>
  </si>
  <si>
    <t>5 Whistle Junction Restaurants</t>
  </si>
  <si>
    <t>Monomoy Capital Partners LLC</t>
  </si>
  <si>
    <t>Western Recreational Vehicles Inc</t>
  </si>
  <si>
    <t>16 Anglers mini-mart convenience stores</t>
  </si>
  <si>
    <t>SurgLine International Inc</t>
  </si>
  <si>
    <t>Nuvo Solar Energy Inc</t>
  </si>
  <si>
    <t>Steve &amp; Barry's University Sportswear</t>
  </si>
  <si>
    <t>Trivos Inc</t>
  </si>
  <si>
    <t>Nuvilex Inc</t>
  </si>
  <si>
    <t>Cinnergen TM</t>
  </si>
  <si>
    <t>Trident Capital</t>
  </si>
  <si>
    <t>Syndero Inc</t>
  </si>
  <si>
    <t>Tix Corp</t>
  </si>
  <si>
    <t>Stand-By Golf</t>
  </si>
  <si>
    <t>Seibu Alaska Inc</t>
  </si>
  <si>
    <t>Cirque Property LC</t>
  </si>
  <si>
    <t>Alyeska Resorts</t>
  </si>
  <si>
    <t>Fashion Flower Co Ltd</t>
  </si>
  <si>
    <t>Motionwear Inc</t>
  </si>
  <si>
    <t>Ark Restaurants Corp</t>
  </si>
  <si>
    <t>Venetian Casino Resort LLC</t>
  </si>
  <si>
    <t>2 restaurant locations</t>
  </si>
  <si>
    <t>Halpryn Group,Glauser Group</t>
  </si>
  <si>
    <t>Winston Pharmaceuticals Inc</t>
  </si>
  <si>
    <t>ADF Cos</t>
  </si>
  <si>
    <t>165 Pizza Hut Restaurants</t>
  </si>
  <si>
    <t>Augusta Lumber Co Inc</t>
  </si>
  <si>
    <t>Rossborough Supply Co Inc</t>
  </si>
  <si>
    <t>Charter Hall Retail REIT</t>
  </si>
  <si>
    <t>Four US Shopping Centres</t>
  </si>
  <si>
    <t>McKee Oil Co</t>
  </si>
  <si>
    <t>10 Convenience Stores</t>
  </si>
  <si>
    <t>Auto-retail stores/Iowa</t>
  </si>
  <si>
    <t>Seminole Tribe of Florida Inc</t>
  </si>
  <si>
    <t>Hard Rock International Inc</t>
  </si>
  <si>
    <t>Zeons Corp</t>
  </si>
  <si>
    <t>Alcar Chemicals Group Inc</t>
  </si>
  <si>
    <t>MDVIP Inc</t>
  </si>
  <si>
    <t>TPG Capital (Fund: TPG Ventures LP),Foundation Capital LLC (Fund: Foundation Capital IV LP)</t>
  </si>
  <si>
    <t>Bella Pictures Inc</t>
  </si>
  <si>
    <t>Armada Mercantile Ltd</t>
  </si>
  <si>
    <t>Quick Service Restaurant</t>
  </si>
  <si>
    <t>Genesco Inc</t>
  </si>
  <si>
    <t>Hat Shack Inc</t>
  </si>
  <si>
    <t>House of Hansen Production LLC</t>
  </si>
  <si>
    <t>My Virtual Brand</t>
  </si>
  <si>
    <t>Southwest Georgia Oil Co Inc</t>
  </si>
  <si>
    <t>24 Sun Stop convenience stores</t>
  </si>
  <si>
    <t>Kaz Inc</t>
  </si>
  <si>
    <t>Thermometer business</t>
  </si>
  <si>
    <t>Exhibit Merchandising LLC</t>
  </si>
  <si>
    <t>Kroger Co/The</t>
  </si>
  <si>
    <t>DeLano Retail Partners</t>
  </si>
  <si>
    <t>8 Cala Foods and Bell Markets stores</t>
  </si>
  <si>
    <t>Liberty Media Corp/Old</t>
  </si>
  <si>
    <t>LodgeNet Interactive Corp</t>
  </si>
  <si>
    <t>Ascent Entertainment Group Inc</t>
  </si>
  <si>
    <t>LightSpeed Venture Partners</t>
  </si>
  <si>
    <t>Mercantila Inc</t>
  </si>
  <si>
    <t>RAM Venture Holdings Corp</t>
  </si>
  <si>
    <t>American Apparel Inc</t>
  </si>
  <si>
    <t>American Apparel &amp; Accessories Inc</t>
  </si>
  <si>
    <t>Ackerly Oil Co Inc</t>
  </si>
  <si>
    <t>American Skiing Co</t>
  </si>
  <si>
    <t>Steamboat Ski &amp; Resort Corp</t>
  </si>
  <si>
    <t>Rousseau Enterprises Inc</t>
  </si>
  <si>
    <t>8 convenience stores/Florida</t>
  </si>
  <si>
    <t>Gitanjali Gems Ltd</t>
  </si>
  <si>
    <t>Samuels Jewelers Inc</t>
  </si>
  <si>
    <t>Pizza Inn Holdings Inc</t>
  </si>
  <si>
    <t>Vintage Interest LP</t>
  </si>
  <si>
    <t>Headquarters office building</t>
  </si>
  <si>
    <t>Chicago Dinner &amp; Dining Co LP</t>
  </si>
  <si>
    <t>Clorox Co/The</t>
  </si>
  <si>
    <t>Bleach Brands</t>
  </si>
  <si>
    <t>Allied Capital Corp</t>
  </si>
  <si>
    <t>Huddle House Inc</t>
  </si>
  <si>
    <t>Class A office building/FL</t>
  </si>
  <si>
    <t>Li &amp; Fung Ltd,Rousso Apparel Group Inc</t>
  </si>
  <si>
    <t>GarfieldMarks LLC</t>
  </si>
  <si>
    <t>Migami Inc</t>
  </si>
  <si>
    <t>Zen Universal Inc</t>
  </si>
  <si>
    <t>Manufacturing rights</t>
  </si>
  <si>
    <t>Richcor Inc</t>
  </si>
  <si>
    <t>13 Stores</t>
  </si>
  <si>
    <t>Castle Hill Productions,Dream LLC</t>
  </si>
  <si>
    <t>Pirate Capital LLC</t>
  </si>
  <si>
    <t>Cordova Smart &amp; Williams LLC</t>
  </si>
  <si>
    <t>Eateries Inc</t>
  </si>
  <si>
    <t>Denver Restaurant Concepts LP</t>
  </si>
  <si>
    <t>Fairfax Millwork and Building Products Inc</t>
  </si>
  <si>
    <t>Smitty's Building Supply Inc</t>
  </si>
  <si>
    <t>Taste Buds</t>
  </si>
  <si>
    <t>5 Restaurants</t>
  </si>
  <si>
    <t>Pegasus Capital Advisors LP</t>
  </si>
  <si>
    <t>Carol's Daughter Product LLC</t>
  </si>
  <si>
    <t>Praxair Inc</t>
  </si>
  <si>
    <t>Canadian propane tank-exchange business</t>
  </si>
  <si>
    <t>Royal Capital Corp</t>
  </si>
  <si>
    <t>Shoney's Restaurants/Atlanta</t>
  </si>
  <si>
    <t>Yankee Gas</t>
  </si>
  <si>
    <t>Puget Sound Propane</t>
  </si>
  <si>
    <t>Frequency Electronics Inc</t>
  </si>
  <si>
    <t>Elcom Technologies Inc</t>
  </si>
  <si>
    <t>Aspen Skiing Co,Fortress Investment Group LLC</t>
  </si>
  <si>
    <t>Related Cos LP/The,WestPac Investments Colorado LLC</t>
  </si>
  <si>
    <t>Snowmass Base Village</t>
  </si>
  <si>
    <t>Mediabolic Inc</t>
  </si>
  <si>
    <t>Pepper Dining Inc</t>
  </si>
  <si>
    <t>2 Megaplex properties/FL &amp; MI</t>
  </si>
  <si>
    <t>FS English Inc</t>
  </si>
  <si>
    <t>Kentucky Restaurant Concepts Inc</t>
  </si>
  <si>
    <t>BB Liquidating Inc</t>
  </si>
  <si>
    <t>Rhino Video Games</t>
  </si>
  <si>
    <t>Mabe Canada Inc</t>
  </si>
  <si>
    <t>Centrica PLC</t>
  </si>
  <si>
    <t>Technician Services Division</t>
  </si>
  <si>
    <t>Anschutz Co</t>
  </si>
  <si>
    <t>MacFarlane-Chang LLC</t>
  </si>
  <si>
    <t>DC United Holdings</t>
  </si>
  <si>
    <t>Willis Stein &amp; Partners LP</t>
  </si>
  <si>
    <t>15 Jewel-Osco Stores</t>
  </si>
  <si>
    <t>Madison Dearborn Partners LLC</t>
  </si>
  <si>
    <t>ACON Investments LLC</t>
  </si>
  <si>
    <t>Peter Piper Inc</t>
  </si>
  <si>
    <t>Redberry Resto Brands Inc</t>
  </si>
  <si>
    <t>16 Pizza Hut restaurants</t>
  </si>
  <si>
    <t>Classic Affairs Inc</t>
  </si>
  <si>
    <t>Carolina Petroleum Distributors of Charlotte Inc</t>
  </si>
  <si>
    <t>Deptford Mall</t>
  </si>
  <si>
    <t>Paid Inc</t>
  </si>
  <si>
    <t>Naztinez Productions LLC</t>
  </si>
  <si>
    <t>Petro Express Inc</t>
  </si>
  <si>
    <t>66 Petro Express TM convenience stores</t>
  </si>
  <si>
    <t>3 malls/Central US</t>
  </si>
  <si>
    <t>Primary Wave Music Publishing LLC</t>
  </si>
  <si>
    <t>2737469 Canada Inc,Goldman Sachs Capital Partners (Fund: GS Capital Partners VI LP)</t>
  </si>
  <si>
    <t>Alliance Atlantis Communications Inc</t>
  </si>
  <si>
    <t>Superfly Productions,AC Entertainment</t>
  </si>
  <si>
    <t>Bonnaroo site</t>
  </si>
  <si>
    <t>Sears Roebuck and Co,Asset Management Co,OrbiMed Advisors LLC,Vivo Ventures,Sofinnova Vent...</t>
  </si>
  <si>
    <t>InteKrin Therapeutics Inc</t>
  </si>
  <si>
    <t>Maverick Capital Ltd</t>
  </si>
  <si>
    <t>Fresh Direct Holdings Inc</t>
  </si>
  <si>
    <t>Intraco Inc</t>
  </si>
  <si>
    <t>CNL Lifestyle Properties Inc</t>
  </si>
  <si>
    <t>7 water &amp; theme parks</t>
  </si>
  <si>
    <t>Stevens Gas Service,Hometown Propane Inc,Mid-Eastern Oil Co,Sunbelt Energy of Florida LLC</t>
  </si>
  <si>
    <t>Corral West Ranchwear Inc</t>
  </si>
  <si>
    <t>BTWW Retail Ltd</t>
  </si>
  <si>
    <t>Chem Aid Inc</t>
  </si>
  <si>
    <t>4 Retail Pharmacies</t>
  </si>
  <si>
    <t>BWT Wassertechnik GmbH</t>
  </si>
  <si>
    <t>Ascendia Brands Inc</t>
  </si>
  <si>
    <t>Calgon brands</t>
  </si>
  <si>
    <t>Mediatone Music Inc</t>
  </si>
  <si>
    <t>StudioCutz.com</t>
  </si>
  <si>
    <t>Attends Healthcare Investments Ltd</t>
  </si>
  <si>
    <t>KPS Capital Partners LP</t>
  </si>
  <si>
    <t>PaperPak Products Inc</t>
  </si>
  <si>
    <t>Global Healthcare REIT Inc</t>
  </si>
  <si>
    <t>Doc Holiday Casino LLC</t>
  </si>
  <si>
    <t>KAI Industries Co Ltd</t>
  </si>
  <si>
    <t>Universal Razor Industries Inc</t>
  </si>
  <si>
    <t>North Castle Partners LLC</t>
  </si>
  <si>
    <t>HDS Cosmetics Lab Inc</t>
  </si>
  <si>
    <t>Booth Creek SKI Holdings Inc</t>
  </si>
  <si>
    <t>4 resorts</t>
  </si>
  <si>
    <t>Resort Holdings Lake Placid LLC</t>
  </si>
  <si>
    <t>T-Rex Capital LLC</t>
  </si>
  <si>
    <t>Whiteface Lodge/The</t>
  </si>
  <si>
    <t>Your Pump of Texas Inc</t>
  </si>
  <si>
    <t>10 card-lock facilities</t>
  </si>
  <si>
    <t>Capricorn Investors II LP</t>
  </si>
  <si>
    <t>Humanicare International Inc</t>
  </si>
  <si>
    <t>GI Joe's Inc</t>
  </si>
  <si>
    <t>Deluxe Corp</t>
  </si>
  <si>
    <t>Staples Inc</t>
  </si>
  <si>
    <t>Chiswick Inc,Veripack Inc</t>
  </si>
  <si>
    <t>Novacap Investments Inc</t>
  </si>
  <si>
    <t>Tri Tech Labs Inc</t>
  </si>
  <si>
    <t>LEK Inc</t>
  </si>
  <si>
    <t>Cardinal Health Inc</t>
  </si>
  <si>
    <t>SpecialtyScripts Pharmacy</t>
  </si>
  <si>
    <t>PPE Houston Ltd</t>
  </si>
  <si>
    <t>Sonic Automotive Inc</t>
  </si>
  <si>
    <t>Jaguar &amp; Land Rover franchises</t>
  </si>
  <si>
    <t>Lund Food Holdings Inc</t>
  </si>
  <si>
    <t>In-store pharmacy assets</t>
  </si>
  <si>
    <t>Perry Ellis International Inc</t>
  </si>
  <si>
    <t>Falic Group</t>
  </si>
  <si>
    <t>Fragrance business</t>
  </si>
  <si>
    <t>Fortenberry's Beef of Magee Inc</t>
  </si>
  <si>
    <t>Western Sizzlin restaurant/MS</t>
  </si>
  <si>
    <t>Trinetics Group Inc</t>
  </si>
  <si>
    <t>FdG Associates LLC</t>
  </si>
  <si>
    <t>USA Bouquet Co</t>
  </si>
  <si>
    <t>17 Red Robin franchised restaurants</t>
  </si>
  <si>
    <t>Marvin Windows and Door Showplace Inc</t>
  </si>
  <si>
    <t>Baron Automotive Group</t>
  </si>
  <si>
    <t>Keystone Automotive Industries Inc</t>
  </si>
  <si>
    <t>A-1 Auto Paint and Supply Inc</t>
  </si>
  <si>
    <t>Maxwell Chrysler South dealership</t>
  </si>
  <si>
    <t>Hilton Acquisition Co LLC</t>
  </si>
  <si>
    <t>Houston Comets</t>
  </si>
  <si>
    <t>Carlyle Group LP/The</t>
  </si>
  <si>
    <t>Philosophy Inc</t>
  </si>
  <si>
    <t>RCC LP</t>
  </si>
  <si>
    <t>Cardinal Management LP</t>
  </si>
  <si>
    <t>EnergySolutions Performance Strategies Inc</t>
  </si>
  <si>
    <t>EnergySolutions LLC</t>
  </si>
  <si>
    <t>Larkspur Hospitality Development and Management Co LLC</t>
  </si>
  <si>
    <t>Kuleto's Italian Restaurant</t>
  </si>
  <si>
    <t>Showtix LLC</t>
  </si>
  <si>
    <t>Ticketing business</t>
  </si>
  <si>
    <t>Colfax Corp</t>
  </si>
  <si>
    <t>Lubrication Systems Co</t>
  </si>
  <si>
    <t>Investar</t>
  </si>
  <si>
    <t>Celebrity Cafe &amp; Bakery</t>
  </si>
  <si>
    <t>10 restaurants</t>
  </si>
  <si>
    <t>Safelite Group Inc</t>
  </si>
  <si>
    <t>Frosted Mug Holdings LLC</t>
  </si>
  <si>
    <t>Rockelle Corp</t>
  </si>
  <si>
    <t>Stewart's Original Root Beer</t>
  </si>
  <si>
    <t>Gilbarco Inc</t>
  </si>
  <si>
    <t>Intermedia Kiosks Inc</t>
  </si>
  <si>
    <t>Raceway Associates LLC</t>
  </si>
  <si>
    <t>Lowrie Management LLLP</t>
  </si>
  <si>
    <t>MRC LP</t>
  </si>
  <si>
    <t>GNC Holdings Inc</t>
  </si>
  <si>
    <t>New England Sports Enterprises LLC</t>
  </si>
  <si>
    <t>Roush Fenway Racing LLC</t>
  </si>
  <si>
    <t>Teitelbaum Holdings Inc,Center Partners,Centre Partners Management LLC (Fund: Centre Capit...</t>
  </si>
  <si>
    <t>RedZone Capital Group LP</t>
  </si>
  <si>
    <t>Johnny Rockets Group Inc</t>
  </si>
  <si>
    <t>Nashville Records Inc</t>
  </si>
  <si>
    <t>Nashville Records Inc/Old</t>
  </si>
  <si>
    <t>Calfee Co of Dalton Inc</t>
  </si>
  <si>
    <t>90 retail stores/Favorite Markets</t>
  </si>
  <si>
    <t>59 Pizza Hut units</t>
  </si>
  <si>
    <t>Clearvision International Inc</t>
  </si>
  <si>
    <t>Velocity Entertainment Inc</t>
  </si>
  <si>
    <t>Imperial Capital Group Ltd</t>
  </si>
  <si>
    <t>Kenra LLC</t>
  </si>
  <si>
    <t>Endemol NV</t>
  </si>
  <si>
    <t>Pollard Banknote Ltd</t>
  </si>
  <si>
    <t>1 VS 100 rights</t>
  </si>
  <si>
    <t>Organic To Go Food Corp</t>
  </si>
  <si>
    <t>Organic To Go Food Corp/Old</t>
  </si>
  <si>
    <t>REX American Resources Corp</t>
  </si>
  <si>
    <t>KLAC REX LLC</t>
  </si>
  <si>
    <t>86 store locations</t>
  </si>
  <si>
    <t>Marwyn Investment Management LLP</t>
  </si>
  <si>
    <t>Media Asia Group Holdings Ltd</t>
  </si>
  <si>
    <t>Fandango Inc/Japan</t>
  </si>
  <si>
    <t>Fandango U.S.A. Inc,Yoshimoto R and C Co Ltd</t>
  </si>
  <si>
    <t>PetSmart Inc</t>
  </si>
  <si>
    <t>19 Super Pet retail stores</t>
  </si>
  <si>
    <t>Familymeds Group Inc</t>
  </si>
  <si>
    <t>Pharmacy assets</t>
  </si>
  <si>
    <t>Berry-Hinckley Industries</t>
  </si>
  <si>
    <t>Peak Resorts Inc</t>
  </si>
  <si>
    <t>Ski Resorts</t>
  </si>
  <si>
    <t>SP Land Co LLC</t>
  </si>
  <si>
    <t>Ski resorts/Vermont</t>
  </si>
  <si>
    <t>Smart &amp; Final Inc</t>
  </si>
  <si>
    <t>Titan Machinery Inc</t>
  </si>
  <si>
    <t>Richland County Implement</t>
  </si>
  <si>
    <t>Behringer Harvard Funds</t>
  </si>
  <si>
    <t>Hawk's Cay Resort</t>
  </si>
  <si>
    <t>Victor's House of Music</t>
  </si>
  <si>
    <t>AmeriGas Partners LP</t>
  </si>
  <si>
    <t>Plains All American Pipeline LP</t>
  </si>
  <si>
    <t>Bumstead LPG facility</t>
  </si>
  <si>
    <t>Spectrum Restaurant Group</t>
  </si>
  <si>
    <t>Souper Salad Inc</t>
  </si>
  <si>
    <t>Grandy's Inc</t>
  </si>
  <si>
    <t>Patina Restaurant Group LLC</t>
  </si>
  <si>
    <t>Smith &amp; Wollensky Restaurant Group Inc</t>
  </si>
  <si>
    <t>Palisade Capital Management LLC</t>
  </si>
  <si>
    <t>SYNNEX Corp</t>
  </si>
  <si>
    <t>PC Wholesale</t>
  </si>
  <si>
    <t>Rare Hospitality International Inc</t>
  </si>
  <si>
    <t>Bugaboo Creek Steak House Inc</t>
  </si>
  <si>
    <t>Geo-Synthetics Inc</t>
  </si>
  <si>
    <t>GSI General Materials</t>
  </si>
  <si>
    <t>MMI Holdings Inc</t>
  </si>
  <si>
    <t>Glacier Restaurant Group LLC</t>
  </si>
  <si>
    <t>Mackenzie River Pizza Co,CM Brands,Craggy Range Bar and Grill,CornerHouse Grille LLC/The</t>
  </si>
  <si>
    <t>Reamax Oil Co Inc</t>
  </si>
  <si>
    <t>Advanced Transportation Insurance Services Inc</t>
  </si>
  <si>
    <t>Gordon Gaming Corp</t>
  </si>
  <si>
    <t>SBE Entertainment Group,Stockbridge Real Estate Funds</t>
  </si>
  <si>
    <t>Sahara Hotel &amp; Casino</t>
  </si>
  <si>
    <t>Cisco Systems Inc,Intel Capital Corp,Star Ventures,Menlo Ventures (Fund: Menlo Ventures X ...</t>
  </si>
  <si>
    <t>Myriad Entertainment &amp; Resorts Inc</t>
  </si>
  <si>
    <t>Club Concepts Consulting LLC</t>
  </si>
  <si>
    <t>Skinny's Inc</t>
  </si>
  <si>
    <t>TenderCare International Inc</t>
  </si>
  <si>
    <t>Rapid Shine Shoe Polisher</t>
  </si>
  <si>
    <t>BR Guest Restaurants</t>
  </si>
  <si>
    <t>16 New York Restaurants</t>
  </si>
  <si>
    <t>Willard Oil Co Inc</t>
  </si>
  <si>
    <t>11 convenience stores/SC</t>
  </si>
  <si>
    <t>Collective International LP</t>
  </si>
  <si>
    <t>Petters Group Worldwide LLC</t>
  </si>
  <si>
    <t>Stylemark Inc</t>
  </si>
  <si>
    <t>Polaroid Eyewear International</t>
  </si>
  <si>
    <t>MovieBeam Inc</t>
  </si>
  <si>
    <t>Star Fuel Marts LLC</t>
  </si>
  <si>
    <t>53 stores</t>
  </si>
  <si>
    <t>Citigroup Inc,Goldman Sachs Capital Partners,KKR &amp; Co LP (Fund: KKR 2006 Fund LP)</t>
  </si>
  <si>
    <t>Dollar General Corp/Old</t>
  </si>
  <si>
    <t>Weinstein Co LLC/The,Hilco Organization/The</t>
  </si>
  <si>
    <t>Halston</t>
  </si>
  <si>
    <t>Diamond Resorts LLC/Old</t>
  </si>
  <si>
    <t>R &amp; R Sports Co LLC</t>
  </si>
  <si>
    <t>Ski Barn Inc</t>
  </si>
  <si>
    <t>Gibraltar Industries Inc</t>
  </si>
  <si>
    <t>Northwest Metal Products Co,Noll Manufacturing Co Inc,M&amp;N Plastics Inc</t>
  </si>
  <si>
    <t>Bersin Properties LLC</t>
  </si>
  <si>
    <t>Irondequoit store</t>
  </si>
  <si>
    <t>Roberts Communications Network LLC</t>
  </si>
  <si>
    <t>Racing communications business</t>
  </si>
  <si>
    <t>AMCOL International Corp</t>
  </si>
  <si>
    <t>Microsponge technology</t>
  </si>
  <si>
    <t>Five Star Products Inc</t>
  </si>
  <si>
    <t>Right-Way Dealer Warehouse Inc</t>
  </si>
  <si>
    <t>La Canasta</t>
  </si>
  <si>
    <t>Grupo Famsa SAB de CV</t>
  </si>
  <si>
    <t>12 stores and 1 distribution center</t>
  </si>
  <si>
    <t>Chicago Growth Partners LLC</t>
  </si>
  <si>
    <t>Footprint Retail Services</t>
  </si>
  <si>
    <t>Allen-Jensen Inc</t>
  </si>
  <si>
    <t>EFT Holdings Inc</t>
  </si>
  <si>
    <t>FSMG Sports LLC</t>
  </si>
  <si>
    <t>Casino Aztar/MO</t>
  </si>
  <si>
    <t>AnyEvent.com</t>
  </si>
  <si>
    <t>Lifespan Inc/CA</t>
  </si>
  <si>
    <t>La Sal West Mine</t>
  </si>
  <si>
    <t>WPP PLC</t>
  </si>
  <si>
    <t>Media Rights Capital II LP</t>
  </si>
  <si>
    <t>OrePac Building Products Inc</t>
  </si>
  <si>
    <t>Albuquerque Door Co</t>
  </si>
  <si>
    <t>Spire Capital Partners LLC</t>
  </si>
  <si>
    <t>Professional Bull Riders Inc</t>
  </si>
  <si>
    <t>Claire's Stores Inc</t>
  </si>
  <si>
    <t>Nu Image Inc</t>
  </si>
  <si>
    <t>First Look Studios Inc</t>
  </si>
  <si>
    <t>Bed Bath &amp; Beyond Inc</t>
  </si>
  <si>
    <t>buybuy BABY</t>
  </si>
  <si>
    <t>CEC Entertainment Inc</t>
  </si>
  <si>
    <t>Marcus Corp/The</t>
  </si>
  <si>
    <t>11 CEC locations</t>
  </si>
  <si>
    <t>Cipher Multimedia Inc</t>
  </si>
  <si>
    <t>Sterling Stores LLC</t>
  </si>
  <si>
    <t>28 stores</t>
  </si>
  <si>
    <t>1945 Route 23 Associates,R&amp;S Parts &amp; Service Inc</t>
  </si>
  <si>
    <t>Autobacs Seven Co Ltd</t>
  </si>
  <si>
    <t>SDA Inc</t>
  </si>
  <si>
    <t>R&amp;S Parts &amp; Service Inc</t>
  </si>
  <si>
    <t>Antibody Films Development LLC</t>
  </si>
  <si>
    <t>Restaurants Unlimited Inc</t>
  </si>
  <si>
    <t>Speakeasy Inc</t>
  </si>
  <si>
    <t>Volo Films LLC</t>
  </si>
  <si>
    <t>Film rights</t>
  </si>
  <si>
    <t>NTN Buzztime Inc</t>
  </si>
  <si>
    <t>HM Electronics Inc</t>
  </si>
  <si>
    <t>NTN Wireless Communications Inc</t>
  </si>
  <si>
    <t>Centaur Inc</t>
  </si>
  <si>
    <t>Hoosier Park LP</t>
  </si>
  <si>
    <t>Lancaster Investment Partners LP</t>
  </si>
  <si>
    <t>Global Service &amp; Trade</t>
  </si>
  <si>
    <t>JH Partners LLC (Fund: JH Investment Partners II LP),Columbus Venture Capital</t>
  </si>
  <si>
    <t>Lussori Inc</t>
  </si>
  <si>
    <t>Medtronic Inc,Intersouth Partners,Whiz Partners Inc,Boston Scientific SAS,IDG Ventures Inc...</t>
  </si>
  <si>
    <t>MicroCHIPS Inc</t>
  </si>
  <si>
    <t>Powers Embroidery Inc</t>
  </si>
  <si>
    <t>Corus Entertainment Inc</t>
  </si>
  <si>
    <t>DIC Entertainment Holdings Inc</t>
  </si>
  <si>
    <t>Sunrise Ag Service Co</t>
  </si>
  <si>
    <t>Auto Panels Plus</t>
  </si>
  <si>
    <t>Clayton Dubilier &amp; Rice LLC (Fund: Clayton &amp; Dubilier Private Equity Fund IV LP),Bruckmann...</t>
  </si>
  <si>
    <t>Cerberus Capital Management LP</t>
  </si>
  <si>
    <t>Remington Arms Co Inc</t>
  </si>
  <si>
    <t>Duffy's Holdings Inc</t>
  </si>
  <si>
    <t>Roadhouse Grill Inc</t>
  </si>
  <si>
    <t>New Leaf Brands Inc</t>
  </si>
  <si>
    <t>Nutritional Specialties Inc</t>
  </si>
  <si>
    <t>17 retail stores/Favorite markets</t>
  </si>
  <si>
    <t>Pure Fishing Inc</t>
  </si>
  <si>
    <t>DFS Commercial Inc</t>
  </si>
  <si>
    <t>Envolve Inc/MO</t>
  </si>
  <si>
    <t>Koch Industries Inc</t>
  </si>
  <si>
    <t>ResisTech License</t>
  </si>
  <si>
    <t>Maveron LLC,Menlo Ventures (Fund: Menlo Ventures X LP),Frazier Technology Ventures LLC</t>
  </si>
  <si>
    <t>Raving Brands Inc</t>
  </si>
  <si>
    <t>Moe's Southwest Grill LLC</t>
  </si>
  <si>
    <t>National Association of Convenience Stores</t>
  </si>
  <si>
    <t>CStoreXchange LLC</t>
  </si>
  <si>
    <t>Pawn One Inc</t>
  </si>
  <si>
    <t>Ezcorp Inc</t>
  </si>
  <si>
    <t>15 pawnshops/Colorado</t>
  </si>
  <si>
    <t>Camping World RV Sales</t>
  </si>
  <si>
    <t>SalonCentric Inc</t>
  </si>
  <si>
    <t>Aberdeen Equipment,Huron Equipment,Redfield Equipment</t>
  </si>
  <si>
    <t>KarpReilly LLC</t>
  </si>
  <si>
    <t>Z'Tejas Inc</t>
  </si>
  <si>
    <t>3 Franchised restaurants</t>
  </si>
  <si>
    <t>Brilliant Digital Entertainment Inc</t>
  </si>
  <si>
    <t>Kinetech Inc</t>
  </si>
  <si>
    <t>Constellation Brands Inc</t>
  </si>
  <si>
    <t>Punch Taverns PLC</t>
  </si>
  <si>
    <t>Constellation Europe Holdings Ltd</t>
  </si>
  <si>
    <t>Sony/ATV Music Publishing</t>
  </si>
  <si>
    <t>Leiber Stoller Catalogue</t>
  </si>
  <si>
    <t>Teachers Insurance &amp; Annuity Association of America,Goldman Sachs Capital Partners (Fund: ...</t>
  </si>
  <si>
    <t>Sientra Inc</t>
  </si>
  <si>
    <t>Heathrow Natural Food &amp; Beverage Inc</t>
  </si>
  <si>
    <t>Open Road Television</t>
  </si>
  <si>
    <t>Empire Education Group</t>
  </si>
  <si>
    <t>51 Cosmetology Schools</t>
  </si>
  <si>
    <t>Eckroth Music Co</t>
  </si>
  <si>
    <t>Trestman Music Center Inc</t>
  </si>
  <si>
    <t>Wendy's Co/The,CP International Investments Ltd</t>
  </si>
  <si>
    <t>FPK Capital,JC Flowers &amp; Co LLC (Fund: JC Flowers II LP)</t>
  </si>
  <si>
    <t>Encore Capital Group Inc</t>
  </si>
  <si>
    <t>Icahn Enterprises LP</t>
  </si>
  <si>
    <t>Goldman Sachs Group Inc/The</t>
  </si>
  <si>
    <t>American Casino &amp; Entertainment Properties LLC</t>
  </si>
  <si>
    <t>Valor Equity Management LLC</t>
  </si>
  <si>
    <t>UV Color Inc</t>
  </si>
  <si>
    <t>Burrill &amp; Co LLC,Great Spirit Ventures LLC,Prolog Ventures LLC,Aisling Capital LLC (Fund: ...</t>
  </si>
  <si>
    <t>Earnhardt RV Centers of Arizona</t>
  </si>
  <si>
    <t>Stephan Co/The</t>
  </si>
  <si>
    <t>First Round Capital</t>
  </si>
  <si>
    <t>TechForward Inc</t>
  </si>
  <si>
    <t>Magnetic Properties LLC</t>
  </si>
  <si>
    <t>Scorpex Inc</t>
  </si>
  <si>
    <t>R&amp;B Dance Diva Joyce Sims Music Label Vessel Worldwide Music</t>
  </si>
  <si>
    <t>Aero Exhaust Inc</t>
  </si>
  <si>
    <t>MaxMex/Luna Music</t>
  </si>
  <si>
    <t>Latin Music Catalog</t>
  </si>
  <si>
    <t>Munchkin Inc</t>
  </si>
  <si>
    <t>Fat Cat Inc</t>
  </si>
  <si>
    <t>Ski Time Square Enterprises</t>
  </si>
  <si>
    <t>Cafritz Interests LLC</t>
  </si>
  <si>
    <t>Thunderhead Lodge &amp; Ski Time Square</t>
  </si>
  <si>
    <t>PetsUnited</t>
  </si>
  <si>
    <t>State Line Tack equine assets</t>
  </si>
  <si>
    <t>Groupe Accent-Fairchild Group</t>
  </si>
  <si>
    <t>Home products business</t>
  </si>
  <si>
    <t>KRG Colorado LLC,Catterton Partners (Fund: Catterton Partners IV LP)</t>
  </si>
  <si>
    <t>Thule AB</t>
  </si>
  <si>
    <t>Case Logic Group</t>
  </si>
  <si>
    <t>Shell Gas LPG USA</t>
  </si>
  <si>
    <t>8 franchised restaurants</t>
  </si>
  <si>
    <t>CLARCOR Inc</t>
  </si>
  <si>
    <t>Private Co,Certain Assets</t>
  </si>
  <si>
    <t>Neeps Inc</t>
  </si>
  <si>
    <t>Drs Foster &amp; Smith Inc</t>
  </si>
  <si>
    <t>Pet Supply Business</t>
  </si>
  <si>
    <t>JB Hudson Jewelers</t>
  </si>
  <si>
    <t>Park Avenue Equity Partners LP</t>
  </si>
  <si>
    <t>Pennmark Automobile Group</t>
  </si>
  <si>
    <t>Classic Automotive Group</t>
  </si>
  <si>
    <t>Riverside Co/The</t>
  </si>
  <si>
    <t>Oberthur Gaming Technologies Corp</t>
  </si>
  <si>
    <t>California Duet LLC</t>
  </si>
  <si>
    <t>CPI Corp</t>
  </si>
  <si>
    <t>Portrait Corp of America Inc</t>
  </si>
  <si>
    <t>Current Analysis Inc</t>
  </si>
  <si>
    <t>NPD Group Inc/The</t>
  </si>
  <si>
    <t>Consumer Electronics Business</t>
  </si>
  <si>
    <t>East Morgan Holdings Inc</t>
  </si>
  <si>
    <t>Selective Brand Holdings Inc/Old</t>
  </si>
  <si>
    <t>Aderans Co Ltd</t>
  </si>
  <si>
    <t>Leavitt Management Group Inc</t>
  </si>
  <si>
    <t>Park Place Realty Holding Co</t>
  </si>
  <si>
    <t>Park Place at Bay Meadows</t>
  </si>
  <si>
    <t>F&amp;S Oil Co Inc</t>
  </si>
  <si>
    <t>Beiersdorf AG</t>
  </si>
  <si>
    <t>Medline Industries Inc</t>
  </si>
  <si>
    <t>Curad brand product line</t>
  </si>
  <si>
    <t>Harvey Group Inc</t>
  </si>
  <si>
    <t>Myer-Emco Inc</t>
  </si>
  <si>
    <t>Cordish Co/The</t>
  </si>
  <si>
    <t>Shrenuj &amp; Co Ltd</t>
  </si>
  <si>
    <t>Simon Golub and Sons Inc</t>
  </si>
  <si>
    <t>Cache Inc</t>
  </si>
  <si>
    <t>Adrienne Victoria Designs Inc</t>
  </si>
  <si>
    <t>Euless Gold &amp; Silver Inc</t>
  </si>
  <si>
    <t>CTX Virtual Technologies Inc</t>
  </si>
  <si>
    <t>Citgo Branded gas station</t>
  </si>
  <si>
    <t>Trinity Home Entertainment LLC</t>
  </si>
  <si>
    <t>2 family entertainment centers/Kansas</t>
  </si>
  <si>
    <t>Arts Alliance</t>
  </si>
  <si>
    <t>Hart Sharp Video</t>
  </si>
  <si>
    <t>Arbor Private Investment Co LP</t>
  </si>
  <si>
    <t>Sam's Wine and Spirits</t>
  </si>
  <si>
    <t>Kahala-Cold Stone</t>
  </si>
  <si>
    <t>Innotrac Corp</t>
  </si>
  <si>
    <t>AER Sales LP</t>
  </si>
  <si>
    <t>Automotive parts business</t>
  </si>
  <si>
    <t>Commonwealth Bank of Australia</t>
  </si>
  <si>
    <t>Music copyright assets</t>
  </si>
  <si>
    <t>Walker/The</t>
  </si>
  <si>
    <t>Aisling Capital LLC</t>
  </si>
  <si>
    <t>Dynova Laboratories Inc</t>
  </si>
  <si>
    <t>Express LLC</t>
  </si>
  <si>
    <t>Rodale Inc</t>
  </si>
  <si>
    <t>Organic Style Ltd/United States</t>
  </si>
  <si>
    <t>Organic Style</t>
  </si>
  <si>
    <t>Mastro's Restaurants LLC</t>
  </si>
  <si>
    <t>SeventySix Capital</t>
  </si>
  <si>
    <t>Take Care Health Systems LLC</t>
  </si>
  <si>
    <t>Atlanta Braves Inc,Leisure Arts Inc</t>
  </si>
  <si>
    <t>Gold Rush Investments Corp</t>
  </si>
  <si>
    <t>Berkshire Hathaway Inc</t>
  </si>
  <si>
    <t>Aurafin LLC,Bel-Oro International Inc</t>
  </si>
  <si>
    <t>Buffalo Wild Wings Inc</t>
  </si>
  <si>
    <t>9 franchised restaurants</t>
  </si>
  <si>
    <t>Phoenix Recycled Products Inc</t>
  </si>
  <si>
    <t>Panther Racing</t>
  </si>
  <si>
    <t>Sunbrite Development LLC</t>
  </si>
  <si>
    <t>Stride Rite Corp/The</t>
  </si>
  <si>
    <t>Republic Financial Corp/KS</t>
  </si>
  <si>
    <t>American Identity Inc</t>
  </si>
  <si>
    <t>Archer-Daniels-Midland Co</t>
  </si>
  <si>
    <t>Agrium Inc</t>
  </si>
  <si>
    <t>32 retail outlets</t>
  </si>
  <si>
    <t>International Bedding Corp</t>
  </si>
  <si>
    <t>Downey Construction</t>
  </si>
  <si>
    <t>Foundation Healthcare Inc</t>
  </si>
  <si>
    <t>Apothecary Rx LLC,Sleep Holdings LLC</t>
  </si>
  <si>
    <t>Grafton Fraser Inc</t>
  </si>
  <si>
    <t>Betbrokers PLC</t>
  </si>
  <si>
    <t>W Technologies Inc</t>
  </si>
  <si>
    <t>Acacia Diversified Holdings Inc</t>
  </si>
  <si>
    <t>Augusta Auto Auction</t>
  </si>
  <si>
    <t>CDC Group PLC</t>
  </si>
  <si>
    <t>Tanjong PLC</t>
  </si>
  <si>
    <t>Globebleq Ltd</t>
  </si>
  <si>
    <t>Quick Car Credit Inc,Texas Auto Credit Solutions Corp</t>
  </si>
  <si>
    <t>Optical Group/The</t>
  </si>
  <si>
    <t>Breeze Ski Rental</t>
  </si>
  <si>
    <t>18 Rental Shops</t>
  </si>
  <si>
    <t>Trinity Industries Inc</t>
  </si>
  <si>
    <t>Sony Corp</t>
  </si>
  <si>
    <t>Famous Music LLC</t>
  </si>
  <si>
    <t>Private Investor,Baja Fresh Mexican Grill,M Plus Capital</t>
  </si>
  <si>
    <t>La Salsa Fresh Mexican Grill</t>
  </si>
  <si>
    <t>CreativEdge Film &amp; Video</t>
  </si>
  <si>
    <t>Marsh Supermarkets Inc</t>
  </si>
  <si>
    <t>Village Pantry Inc</t>
  </si>
  <si>
    <t>Golden Sun Inc</t>
  </si>
  <si>
    <t>JC Wink Inc</t>
  </si>
  <si>
    <t>Rare Restaurant Group LLC</t>
  </si>
  <si>
    <t>Mastro Group</t>
  </si>
  <si>
    <t>Propane Direct LLC</t>
  </si>
  <si>
    <t>Bar H Steakhouse</t>
  </si>
  <si>
    <t>Cardtronics Inc</t>
  </si>
  <si>
    <t>7-Eleven ATM portfolio</t>
  </si>
  <si>
    <t>Quad/Graphics Canada Inc</t>
  </si>
  <si>
    <t>Colorscope Inc</t>
  </si>
  <si>
    <t>Findos Investor GmbH</t>
  </si>
  <si>
    <t>Tondeo-Werk GmbH</t>
  </si>
  <si>
    <t>Nissan Tokyo Sales Holdings Co Ltd</t>
  </si>
  <si>
    <t>CapitalMedica Co Ltd</t>
  </si>
  <si>
    <t>TN Group Hawaii Inc</t>
  </si>
  <si>
    <t>GotFrag.com</t>
  </si>
  <si>
    <t>Ondal Industrietechnik GmbH</t>
  </si>
  <si>
    <t>Chevron Corp,Micron Technology Inc,Parker Hannifin Corp,ARCH Venture Partners LP,Vanguard ...</t>
  </si>
  <si>
    <t>Artificial Muscle Inc</t>
  </si>
  <si>
    <t>San Luis Rey Downs</t>
  </si>
  <si>
    <t>Mega Group Inc</t>
  </si>
  <si>
    <t>4 gasoline convenience store ops/VA</t>
  </si>
  <si>
    <t>Discovery Kingdom park</t>
  </si>
  <si>
    <t>Miami Subs Capital Partners I Inc</t>
  </si>
  <si>
    <t>Miami Subs Corp</t>
  </si>
  <si>
    <t>Tranzbyte Corp</t>
  </si>
  <si>
    <t>SonicMountain Inc</t>
  </si>
  <si>
    <t>Voyant International Corp</t>
  </si>
  <si>
    <t>Wild Woods Inc,DL Music</t>
  </si>
  <si>
    <t>Cherokee Advisors LLC</t>
  </si>
  <si>
    <t>Back Yard Burgers Inc</t>
  </si>
  <si>
    <t>Troncalli Nissan,Troncalli Infiniti</t>
  </si>
  <si>
    <t>AmericaTAB,Bloodstock Research Information Services Inc,Thoroughbred Sports Network</t>
  </si>
  <si>
    <t>Shoply Ltd</t>
  </si>
  <si>
    <t>Violator Management &amp; Records</t>
  </si>
  <si>
    <t>Raley's</t>
  </si>
  <si>
    <t>Raley's ten stores</t>
  </si>
  <si>
    <t>Ingram Micro Inc</t>
  </si>
  <si>
    <t>DBL Distributing LLC</t>
  </si>
  <si>
    <t>Melco International Development Ltd</t>
  </si>
  <si>
    <t>Entertainment Gaming Asia Inc</t>
  </si>
  <si>
    <t>Sunflower Publishing Inc</t>
  </si>
  <si>
    <t>All Music Assets</t>
  </si>
  <si>
    <t>CGroup HK Ltd,Concept 3 Ltd,CGroup US Inc</t>
  </si>
  <si>
    <t>Restaurant Group LLC</t>
  </si>
  <si>
    <t>Latitude Restaurant Group</t>
  </si>
  <si>
    <t>GMP Capital Inc,Goldman Sachs Capital Partners (Fund: GS Capital Partners VI LP)</t>
  </si>
  <si>
    <t>Alliance Films Inc</t>
  </si>
  <si>
    <t>Amicus Wind Down Corp</t>
  </si>
  <si>
    <t>MBL Group PLC</t>
  </si>
  <si>
    <t>Legacy Entertainment Inc</t>
  </si>
  <si>
    <t>Dixie Lee International Industries Inc</t>
  </si>
  <si>
    <t>Dixie Lee Food Systems USA Inc</t>
  </si>
  <si>
    <t>Six Flags Inc,RedZone Capital Group LP</t>
  </si>
  <si>
    <t>Dick Clark Productions Inc</t>
  </si>
  <si>
    <t>Great Wolf Lodge resort</t>
  </si>
  <si>
    <t>Homeland Inc,Reasors Inc,RPCS Inc,Williams Discount Foods</t>
  </si>
  <si>
    <t>23 Albertson's stores</t>
  </si>
  <si>
    <t>Carlyle Group LP/The (Fund: Carlyle Partners V LP),Bain Capital Partners LLC (Fund: Bain C...</t>
  </si>
  <si>
    <t>HD Supply Inc</t>
  </si>
  <si>
    <t>Sun Sports and Entertainment Inc</t>
  </si>
  <si>
    <t>Sports Radio Event Network Inc</t>
  </si>
  <si>
    <t>Newby Salons LLC</t>
  </si>
  <si>
    <t>Bon Aire Bedding</t>
  </si>
  <si>
    <t>Calabasas Motorcars</t>
  </si>
  <si>
    <t>Rankin Brothers Inc</t>
  </si>
  <si>
    <t>CLB Investment Corp</t>
  </si>
  <si>
    <t>Torpedo Inc</t>
  </si>
  <si>
    <t>Aga Rangemaster Group PLC</t>
  </si>
  <si>
    <t>Synergy Enterprise LLC</t>
  </si>
  <si>
    <t>Domain Home Fashions</t>
  </si>
  <si>
    <t>Rockaway Bedding Inc</t>
  </si>
  <si>
    <t>Sleepy's LLC,Hudson Capital Partners LLC</t>
  </si>
  <si>
    <t>32 bakery-cafes</t>
  </si>
  <si>
    <t>Fiesta Hair Salons</t>
  </si>
  <si>
    <t>Rice Garden Inc</t>
  </si>
  <si>
    <t>ARAMARK Corp/Old,Hyatt Corp</t>
  </si>
  <si>
    <t>SMG Holdings Inc</t>
  </si>
  <si>
    <t>Goldman Sachs Capital Partners (Fund: GS Capital Partners VI LP),EdgeStone Capital Partner...</t>
  </si>
  <si>
    <t>Movie Distribution Income Fund</t>
  </si>
  <si>
    <t>Spring Air Co/The</t>
  </si>
  <si>
    <t>Consolidated Bedding Inc</t>
  </si>
  <si>
    <t>SAI Monrovia B Inc</t>
  </si>
  <si>
    <t>Sports Direct International PLC</t>
  </si>
  <si>
    <t>Everlast Worldwide Inc</t>
  </si>
  <si>
    <t>Belvedere Winery</t>
  </si>
  <si>
    <t>LVMH Moet Hennessy Louis Vuitton SA</t>
  </si>
  <si>
    <t>Belvedere US trademarks</t>
  </si>
  <si>
    <t>Modern Luxury Media LLC</t>
  </si>
  <si>
    <t>Tourbillon International LLC</t>
  </si>
  <si>
    <t>Interactive Games Operating Subsidiary</t>
  </si>
  <si>
    <t>Onex Corp</t>
  </si>
  <si>
    <t>Cici's Pizza</t>
  </si>
  <si>
    <t>Vaughan Foods Inc</t>
  </si>
  <si>
    <t>Allison's Gourmet Kitchens LP</t>
  </si>
  <si>
    <t>Nine franchised restaurants</t>
  </si>
  <si>
    <t>Belvedere USA Corp</t>
  </si>
  <si>
    <t>Universal Manufacturing Co</t>
  </si>
  <si>
    <t>Universal Distribution LLC</t>
  </si>
  <si>
    <t>Palm Beach Capital</t>
  </si>
  <si>
    <t>DDP Holdings Inc</t>
  </si>
  <si>
    <t>Option Care Inc/Delaware</t>
  </si>
  <si>
    <t>Container Store Group Inc/The</t>
  </si>
  <si>
    <t>Gibson Brands Inc</t>
  </si>
  <si>
    <t>Garrison Guitars</t>
  </si>
  <si>
    <t>Texas Department of Transportation</t>
  </si>
  <si>
    <t>Land &amp; Building</t>
  </si>
  <si>
    <t>Champps Entertainment Inc</t>
  </si>
  <si>
    <t>Collins &amp; Collins,Sanford-Orlando Kennel Club Inc</t>
  </si>
  <si>
    <t>Sanford-Orlando Kennel Club/FL</t>
  </si>
  <si>
    <t>JPB Capital Partners</t>
  </si>
  <si>
    <t>Greene Turtle Franchising Corp/The</t>
  </si>
  <si>
    <t>DineEquity Inc</t>
  </si>
  <si>
    <t>Argonne Capital Group LLC</t>
  </si>
  <si>
    <t>Ojon Corp</t>
  </si>
  <si>
    <t>Vega Biofuels Inc</t>
  </si>
  <si>
    <t>Proprietary intellectual source code</t>
  </si>
  <si>
    <t>John Hardy Ltd</t>
  </si>
  <si>
    <t>Ltd Stores LLC</t>
  </si>
  <si>
    <t>Swordfish Financial Inc</t>
  </si>
  <si>
    <t>Fish Hawk Electronics of Crystal Lake/IL</t>
  </si>
  <si>
    <t>Noven Pharmaceuticals Inc</t>
  </si>
  <si>
    <t>Noven Therapeutics LLC</t>
  </si>
  <si>
    <t>Tree-O Marketing Inc,Beauty Supply Outlet Inc</t>
  </si>
  <si>
    <t>eBags Inc</t>
  </si>
  <si>
    <t>Zappos.com Inc</t>
  </si>
  <si>
    <t>6pm.com</t>
  </si>
  <si>
    <t>Anschutz Corp/The</t>
  </si>
  <si>
    <t>Andell Holdings LLC</t>
  </si>
  <si>
    <t>Chicago Fire</t>
  </si>
  <si>
    <t>Maly's West</t>
  </si>
  <si>
    <t>Orchard Enterprises Inc/Old</t>
  </si>
  <si>
    <t>Natco Pharma Ltd</t>
  </si>
  <si>
    <t>SaveMart Pharmacy</t>
  </si>
  <si>
    <t>Candidates on Demand Group Inc</t>
  </si>
  <si>
    <t>Cereality Cereal Bar &amp; Cafe</t>
  </si>
  <si>
    <t>Schultze Asset Management LLC</t>
  </si>
  <si>
    <t>Tweeter Home Entertainment Group Inc</t>
  </si>
  <si>
    <t>Table Game Division assets</t>
  </si>
  <si>
    <t>Center Oil Co</t>
  </si>
  <si>
    <t>Lightfoot Capital Partners LP</t>
  </si>
  <si>
    <t>Petroleum Product terminals</t>
  </si>
  <si>
    <t>QSGI Inc</t>
  </si>
  <si>
    <t>DPV Inc</t>
  </si>
  <si>
    <t>Seaway Valley Capital Corp</t>
  </si>
  <si>
    <t>WiseBuys Stores Inc</t>
  </si>
  <si>
    <t>International Watch Group</t>
  </si>
  <si>
    <t>Peace Mark Holdings Ltd</t>
  </si>
  <si>
    <t>Beat Time Group Ltd</t>
  </si>
  <si>
    <t>Reeds Family Outdoor Outfitters</t>
  </si>
  <si>
    <t>Gander Mountain Co</t>
  </si>
  <si>
    <t>Tintic Standard Gold Mines Inc</t>
  </si>
  <si>
    <t>In-Media Entertainment Corp</t>
  </si>
  <si>
    <t>Panda Express Inc,Mills Enterprises Inc</t>
  </si>
  <si>
    <t>Autogrill SpA</t>
  </si>
  <si>
    <t>FoodBrand LLC</t>
  </si>
  <si>
    <t>O'Charleys Inc</t>
  </si>
  <si>
    <t>Commissary facility</t>
  </si>
  <si>
    <t>Talisker Corp</t>
  </si>
  <si>
    <t>ASC Utah Inc</t>
  </si>
  <si>
    <t>Pacific Coast Restaurants Inc</t>
  </si>
  <si>
    <t>Tavistock Restaurant LLC</t>
  </si>
  <si>
    <t>Freebirds LP</t>
  </si>
  <si>
    <t>Vital Signs Inc</t>
  </si>
  <si>
    <t>Southern Sleep Technologies LLC,Southern Home Respiratory Care LLC</t>
  </si>
  <si>
    <t>Avestha Gengraine Technologies Pvt Ltd</t>
  </si>
  <si>
    <t>Renaissance Herbs Inc</t>
  </si>
  <si>
    <t>Khosla Ventures LLC</t>
  </si>
  <si>
    <t>Jawbone</t>
  </si>
  <si>
    <t>Wind Point Partners LP</t>
  </si>
  <si>
    <t>Management Group,MidOcean Partners LP (Fund: MidOcean Partners Fund III LP)</t>
  </si>
  <si>
    <t>Bushnell Inc</t>
  </si>
  <si>
    <t>Patrick Hackett Hardware Co</t>
  </si>
  <si>
    <t>Intandem Films PLC</t>
  </si>
  <si>
    <t>Radical Publishing Inc</t>
  </si>
  <si>
    <t>Mundur ehf</t>
  </si>
  <si>
    <t>Metropolitan Mattress Corp</t>
  </si>
  <si>
    <t>Lockport Mattress Co Inc</t>
  </si>
  <si>
    <t>Scott's Gourmet Sandwiches</t>
  </si>
  <si>
    <t>New Orleans Hornets NBA LP</t>
  </si>
  <si>
    <t>Roadside Attractions LLC</t>
  </si>
  <si>
    <t>Edelman Shoe Inc</t>
  </si>
  <si>
    <t>Royce Motors Inc</t>
  </si>
  <si>
    <t>Lee Equity Partners LLC</t>
  </si>
  <si>
    <t>DEB Shops Inc</t>
  </si>
  <si>
    <t>Powdr Corp</t>
  </si>
  <si>
    <t>JMA Ventures LLC</t>
  </si>
  <si>
    <t>Alpine Meadows of Tahoe Inc</t>
  </si>
  <si>
    <t>Whitehall Jewelers Holdings Inc</t>
  </si>
  <si>
    <t>Jabara Ventures Group Inc</t>
  </si>
  <si>
    <t>Sheplers Inc</t>
  </si>
  <si>
    <t>Management Group,Jordan Co LP/The (Fund: Resolute Fund II LP/The)</t>
  </si>
  <si>
    <t>Production Resource Group LLC</t>
  </si>
  <si>
    <t>EK Success Ltd</t>
  </si>
  <si>
    <t>Wilton Industries Inc,Dimensions Holdings LLC</t>
  </si>
  <si>
    <t>Red Power International Inc</t>
  </si>
  <si>
    <t>Dreams Inc</t>
  </si>
  <si>
    <t>Schwartz Sports</t>
  </si>
  <si>
    <t>Fujikoshi KK</t>
  </si>
  <si>
    <t>Unnamed Co</t>
  </si>
  <si>
    <t>Sandy Steele Unlimited Inc</t>
  </si>
  <si>
    <t>Mesquite Springs Suites</t>
  </si>
  <si>
    <t>Front Line Management Group Inc</t>
  </si>
  <si>
    <t>SureSource LLC</t>
  </si>
  <si>
    <t>NXP Corp</t>
  </si>
  <si>
    <t>Little Switzerland Inc</t>
  </si>
  <si>
    <t>JJ Haines &amp; Co Inc</t>
  </si>
  <si>
    <t>Wheeler Inc</t>
  </si>
  <si>
    <t>Wolseley Private Equity</t>
  </si>
  <si>
    <t>Cartridge World North America LLC</t>
  </si>
  <si>
    <t>Non-Stop Music</t>
  </si>
  <si>
    <t>Rairdon's Chrysler Jeep of Kirkland</t>
  </si>
  <si>
    <t>Boston Market Corp</t>
  </si>
  <si>
    <t>Bay Point Resort Corpus Christi LP</t>
  </si>
  <si>
    <t>NNN Apartment REIT Inc</t>
  </si>
  <si>
    <t>Baypoint Resort</t>
  </si>
  <si>
    <t>Applejam Inc</t>
  </si>
  <si>
    <t>DDRS LLC</t>
  </si>
  <si>
    <t>Shops at East West Connector/The</t>
  </si>
  <si>
    <t>Phillips Edison &amp; Co</t>
  </si>
  <si>
    <t>Southern Hills Plaza</t>
  </si>
  <si>
    <t>MBF Healthcare Partners LP</t>
  </si>
  <si>
    <t>Nutri-Force Nutrition Inc</t>
  </si>
  <si>
    <t>Movielink LLC</t>
  </si>
  <si>
    <t>KPRKAR LLC</t>
  </si>
  <si>
    <t>Levine Leichtman Capital Partners Inc</t>
  </si>
  <si>
    <t>Floors-N-More LLC</t>
  </si>
  <si>
    <t>Interlink US Network Ltd</t>
  </si>
  <si>
    <t>Jump Communications Inc</t>
  </si>
  <si>
    <t>BioPharmetics Inc</t>
  </si>
  <si>
    <t>R &amp; Everything Else Inc</t>
  </si>
  <si>
    <t>La Jolla Group Inc</t>
  </si>
  <si>
    <t>Rusty apparel license/NA</t>
  </si>
  <si>
    <t>V2 Music Group Ltd</t>
  </si>
  <si>
    <t>Lincolnshire Management Inc</t>
  </si>
  <si>
    <t>Prince Sports Inc</t>
  </si>
  <si>
    <t>All Star Gas Corp</t>
  </si>
  <si>
    <t>China Yili Petroleum Co</t>
  </si>
  <si>
    <t>Sino-American Petroleum Group Inc</t>
  </si>
  <si>
    <t>Jo-Ann Stores Inc</t>
  </si>
  <si>
    <t>Ideaforest.com</t>
  </si>
  <si>
    <t>Cabela's Inc</t>
  </si>
  <si>
    <t>S.I.R. Warehouse Sports Store</t>
  </si>
  <si>
    <t>Monarchy LLC</t>
  </si>
  <si>
    <t>Hudson Capital Partners LLC</t>
  </si>
  <si>
    <t>Darden Restaurants Inc</t>
  </si>
  <si>
    <t>Virgin Group Ltd</t>
  </si>
  <si>
    <t>Related Cos LP/The</t>
  </si>
  <si>
    <t>Virgin Megastores North America</t>
  </si>
  <si>
    <t>Sarcom Inc</t>
  </si>
  <si>
    <t>SportsQuest Inc</t>
  </si>
  <si>
    <t>Zaring/Cioffi Entertainment LLC</t>
  </si>
  <si>
    <t>BIH Corp</t>
  </si>
  <si>
    <t>Baron International Inc</t>
  </si>
  <si>
    <t>Banyan Enterprises</t>
  </si>
  <si>
    <t>AJ Prindle &amp; Co</t>
  </si>
  <si>
    <t>GB Palladin Capital LLC</t>
  </si>
  <si>
    <t>Management Group,ACON Investments LLC (Fund: ACON-Bastion Partners II LP)</t>
  </si>
  <si>
    <t>Spencer Gifts Holdings Inc</t>
  </si>
  <si>
    <t>Yard House USA Inc</t>
  </si>
  <si>
    <t>Castanea Partners</t>
  </si>
  <si>
    <t>Betsey Johnson LLC</t>
  </si>
  <si>
    <t>Parque de Atracciones Madrid SAU</t>
  </si>
  <si>
    <t>Gentlemen's club</t>
  </si>
  <si>
    <t>Azteq USA Inc</t>
  </si>
  <si>
    <t>Tri Star Energy LLC</t>
  </si>
  <si>
    <t>57 Scot Markets sites</t>
  </si>
  <si>
    <t>Techtronic Industries Floor Care North America</t>
  </si>
  <si>
    <t>Stopol Inc</t>
  </si>
  <si>
    <t>Hoover manufacturing facility equipment</t>
  </si>
  <si>
    <t>North West Co Inc/The</t>
  </si>
  <si>
    <t>Cost-U-Less Inc</t>
  </si>
  <si>
    <t>LC Partners</t>
  </si>
  <si>
    <t>TMS Partners</t>
  </si>
  <si>
    <t>Belle Ville</t>
  </si>
  <si>
    <t>Booth Creek Management LLC</t>
  </si>
  <si>
    <t>Evernham Motorsports</t>
  </si>
  <si>
    <t>Peterson Automotive</t>
  </si>
  <si>
    <t>Peterson Volkswagen/Audi</t>
  </si>
  <si>
    <t>Chevrolet of Boise</t>
  </si>
  <si>
    <t>Village Roadshow Ltd</t>
  </si>
  <si>
    <t>Buncher Co/The</t>
  </si>
  <si>
    <t>Hidden Valley Four Season Resort</t>
  </si>
  <si>
    <t>Damon Runyon Cancer Research Center of New York,Barlow Respiratory Hospital of Los Angeles</t>
  </si>
  <si>
    <t>CIM Group LLC</t>
  </si>
  <si>
    <t>Grauman's Chinese Theatre/CA</t>
  </si>
  <si>
    <t>Motiva Enterprises LLC</t>
  </si>
  <si>
    <t>Chestnut Petroleum Distributors Inc</t>
  </si>
  <si>
    <t>18 Retail gas station sites</t>
  </si>
  <si>
    <t>LaSalle Brands Inc</t>
  </si>
  <si>
    <t>2 Racetrack operations</t>
  </si>
  <si>
    <t>Talon LLC</t>
  </si>
  <si>
    <t>ACT Test Panels Inc</t>
  </si>
  <si>
    <t>7 properties</t>
  </si>
  <si>
    <t>Cinelease Inc</t>
  </si>
  <si>
    <t>Venture Out RV Centers Inc</t>
  </si>
  <si>
    <t>North Bridge Venture Partners LP</t>
  </si>
  <si>
    <t>Smartpak Equine LLC</t>
  </si>
  <si>
    <t>Kirtland Capital Partners LLC</t>
  </si>
  <si>
    <t>Rent-A-PC Inc</t>
  </si>
  <si>
    <t>Mandate Pictures LLC</t>
  </si>
  <si>
    <t>Cornerstone Acceptance Corp</t>
  </si>
  <si>
    <t>615 Music Library LLC</t>
  </si>
  <si>
    <t>Metro Music Inc</t>
  </si>
  <si>
    <t>Fantasy Sports Ventures</t>
  </si>
  <si>
    <t>TheHuddle.com</t>
  </si>
  <si>
    <t>United Retail Group Inc</t>
  </si>
  <si>
    <t>Grocery Outlet Inc</t>
  </si>
  <si>
    <t>Chatham Spirits &amp; Fine Wines</t>
  </si>
  <si>
    <t>JackShrimp AV Inc</t>
  </si>
  <si>
    <t>Native Foods Cafe LLC</t>
  </si>
  <si>
    <t>Restaurant/CA</t>
  </si>
  <si>
    <t>InterAmerican Gaming Corp</t>
  </si>
  <si>
    <t>Gracenote Inc</t>
  </si>
  <si>
    <t>Musicphone Technology</t>
  </si>
  <si>
    <t>Pro Elite Inc</t>
  </si>
  <si>
    <t>King of the Cage Inc</t>
  </si>
  <si>
    <t>Falfurrias Capital Partners LP</t>
  </si>
  <si>
    <t>Bojangles' Restaurants Inc</t>
  </si>
  <si>
    <t>GreenGold Ray Energies Inc</t>
  </si>
  <si>
    <t>DR Entertainment Group</t>
  </si>
  <si>
    <t>Raymond James Financial Inc</t>
  </si>
  <si>
    <t>Sirchie Finger Print Laboratories Inc</t>
  </si>
  <si>
    <t>SC Fuels</t>
  </si>
  <si>
    <t>Cardlock Fuels System Inc</t>
  </si>
  <si>
    <t>Salem Communications Corp</t>
  </si>
  <si>
    <t>CMCentral.com</t>
  </si>
  <si>
    <t>Sunflowers Cafe and Bakery</t>
  </si>
  <si>
    <t>Golden Productions JGC Fort Worth LLC</t>
  </si>
  <si>
    <t>Great Atlantic &amp; Pacific Tea Co Inc/The</t>
  </si>
  <si>
    <t>Unnamed Buyer,Rouse's Enterprises LLC</t>
  </si>
  <si>
    <t>19 Sav-A-Center Stores</t>
  </si>
  <si>
    <t>Management Group,North Castle Partners LLC</t>
  </si>
  <si>
    <t>Atkins Nutritionals Holdings Inc</t>
  </si>
  <si>
    <t>Bodily RV Center</t>
  </si>
  <si>
    <t>Le Tigre LLC</t>
  </si>
  <si>
    <t>Kenneth Cole Productions Inc</t>
  </si>
  <si>
    <t>Le Tigre brand</t>
  </si>
  <si>
    <t>Party City Holdings Inc</t>
  </si>
  <si>
    <t>Factory Card &amp; Party Outlet Corp</t>
  </si>
  <si>
    <t>Tirzah LPG storage facility</t>
  </si>
  <si>
    <t>Sanders Liquid Sunshine LLC,Vegas Liquid Sunshine LLC</t>
  </si>
  <si>
    <t>Jamba Inc</t>
  </si>
  <si>
    <t>22 Jamba Juice francised stores</t>
  </si>
  <si>
    <t>Serefex Corp</t>
  </si>
  <si>
    <t>WP Hickman Systems Inc</t>
  </si>
  <si>
    <t>MVP Finance Inc,Value Systems Inc</t>
  </si>
  <si>
    <t>C &amp; S Orlando Inc,C &amp; S Orlando Finance Inc</t>
  </si>
  <si>
    <t>BMFA Holdings</t>
  </si>
  <si>
    <t>Equitium Group/The</t>
  </si>
  <si>
    <t>Caswell-Massey</t>
  </si>
  <si>
    <t>Merchandising Technologies Inc</t>
  </si>
  <si>
    <t>Andrews Electronics</t>
  </si>
  <si>
    <t>Susser Holdings Corp</t>
  </si>
  <si>
    <t>Town &amp; Country Food Stores Inc</t>
  </si>
  <si>
    <t>Tomarrie II LP,Tomarrie III LP</t>
  </si>
  <si>
    <t>17 Pizza Hut units</t>
  </si>
  <si>
    <t>Shirepond Ltd</t>
  </si>
  <si>
    <t>Richoux Group PLC</t>
  </si>
  <si>
    <t>Amato Cafe</t>
  </si>
  <si>
    <t>2 retail propane locations</t>
  </si>
  <si>
    <t>Zale Corp</t>
  </si>
  <si>
    <t>Bailey Banks &amp; Biddle Co</t>
  </si>
  <si>
    <t>Quality Propane Inc,Bay Cities Gas Corp</t>
  </si>
  <si>
    <t>Optimal Group Inc</t>
  </si>
  <si>
    <t>WowWee Ltd,WowWee Marketing,WowWee Group</t>
  </si>
  <si>
    <t>Valley Propane Inc</t>
  </si>
  <si>
    <t>Sagard Private Equity Partners</t>
  </si>
  <si>
    <t>Willie's Roadhouse Grill LLC</t>
  </si>
  <si>
    <t>RHG Acquisition Corp</t>
  </si>
  <si>
    <t>Downtown Grill Investors LLC</t>
  </si>
  <si>
    <t>Grill Concepts Inc</t>
  </si>
  <si>
    <t>612 Flower Daily Grill LLC</t>
  </si>
  <si>
    <t>Carl's Furniture Inc</t>
  </si>
  <si>
    <t>Panattoni Development Co LLC</t>
  </si>
  <si>
    <t>3 Carls Furniture Locations/Fl</t>
  </si>
  <si>
    <t>Beaudry RV San Diego</t>
  </si>
  <si>
    <t>UMining Resources Inc</t>
  </si>
  <si>
    <t>Diesel fuel development technology</t>
  </si>
  <si>
    <t>Manhattan Center Studios</t>
  </si>
  <si>
    <t>Manhattan Center Productions</t>
  </si>
  <si>
    <t>Carbiz Inc</t>
  </si>
  <si>
    <t>Calcars Inc</t>
  </si>
  <si>
    <t>Rogers Lunt &amp; Bowlen Co</t>
  </si>
  <si>
    <t>Heritage Cutlery Inc</t>
  </si>
  <si>
    <t>Sitestar Corp</t>
  </si>
  <si>
    <t>Vertafore Inc</t>
  </si>
  <si>
    <t>Computers By Design</t>
  </si>
  <si>
    <t>Gateway Cascades LLC</t>
  </si>
  <si>
    <t>Muckleshoot Indian Tribe/The</t>
  </si>
  <si>
    <t>Salish Lodge &amp; Spa</t>
  </si>
  <si>
    <t>Loews Corp</t>
  </si>
  <si>
    <t>Citizen Holdings Co Ltd</t>
  </si>
  <si>
    <t>Bulova Corp</t>
  </si>
  <si>
    <t>MWI Veterinary Supply Inc</t>
  </si>
  <si>
    <t>Tri V Services Inc</t>
  </si>
  <si>
    <t>Blackstreet Capital Partners LLC</t>
  </si>
  <si>
    <t>Essential Pizza Inc</t>
  </si>
  <si>
    <t>Dead River Co</t>
  </si>
  <si>
    <t>Union Oil Co/ME</t>
  </si>
  <si>
    <t>Corporate Express NV</t>
  </si>
  <si>
    <t>Contracta Office Furnishings</t>
  </si>
  <si>
    <t>Riverside Gas &amp; Oil Co Inc</t>
  </si>
  <si>
    <t>On2 Technologies Inc,Swander Pace Capital LLC (Fund: SPC Partners III LP)</t>
  </si>
  <si>
    <t>Gilchrist &amp; Soames Inc</t>
  </si>
  <si>
    <t>Guthy-Renker Corp</t>
  </si>
  <si>
    <t>Lieberman Productions</t>
  </si>
  <si>
    <t>Imperial Co Inc</t>
  </si>
  <si>
    <t>Papa Romano's Pizza</t>
  </si>
  <si>
    <t>Mr Pita</t>
  </si>
  <si>
    <t>Gordon Brothers Group LLC,Hilco Merchant Resources LLC</t>
  </si>
  <si>
    <t>Bombay Co Inc/The</t>
  </si>
  <si>
    <t>TouchTunes Music Corp/NV</t>
  </si>
  <si>
    <t>White Rabbit Game Studio LLC</t>
  </si>
  <si>
    <t>Las Vegas property</t>
  </si>
  <si>
    <t>Conexion Media Group PLC</t>
  </si>
  <si>
    <t>Frank Catanzaro Catalogue of Music Publishing Rights</t>
  </si>
  <si>
    <t>Small World Kids Inc</t>
  </si>
  <si>
    <t>Management Group,Rivenrock Capital LLC</t>
  </si>
  <si>
    <t>Small World Toys</t>
  </si>
  <si>
    <t>Taylor Auto</t>
  </si>
  <si>
    <t>Maveron LLC</t>
  </si>
  <si>
    <t>Pinkberry Inc</t>
  </si>
  <si>
    <t>Cephas Holding Corp</t>
  </si>
  <si>
    <t>Midnight Movies Entertainment Inc</t>
  </si>
  <si>
    <t>End Zone/The</t>
  </si>
  <si>
    <t>Don Mackey BMW</t>
  </si>
  <si>
    <t>Kooba Inc</t>
  </si>
  <si>
    <t>Brother's Restaurant &amp; Deli</t>
  </si>
  <si>
    <t>4B's Restaurant,JJ North's Grand Buffet</t>
  </si>
  <si>
    <t>AmeriResource Technologies Inc</t>
  </si>
  <si>
    <t>Green Endeavors Inc</t>
  </si>
  <si>
    <t>Convivia Inc</t>
  </si>
  <si>
    <t>Trimont Real Estate Advisors Inc</t>
  </si>
  <si>
    <t>Movieplex</t>
  </si>
  <si>
    <t>Dr Gas Inc</t>
  </si>
  <si>
    <t>Booksmith/The</t>
  </si>
  <si>
    <t>Car Designer Revenge Designs LLC</t>
  </si>
  <si>
    <t>Benix Inc</t>
  </si>
  <si>
    <t>Bombay Furniture Co of Canada Inc</t>
  </si>
  <si>
    <t>US Dry Cleaning Corp</t>
  </si>
  <si>
    <t>Robinson Corp</t>
  </si>
  <si>
    <t>3i Group PLC</t>
  </si>
  <si>
    <t>John Hardy Inc</t>
  </si>
  <si>
    <t>EI du Pont de Nemours &amp; Co,Pfingsten Partners LLC,HarbourVest Partners LLC (Fund: HarbourV...</t>
  </si>
  <si>
    <t>Tropitone Furniture Co Inc</t>
  </si>
  <si>
    <t>Kaman Music Corp</t>
  </si>
  <si>
    <t>Pyramid Saimira Theatre Ltd</t>
  </si>
  <si>
    <t>FunAsia</t>
  </si>
  <si>
    <t>Cinema and 2 radio stations</t>
  </si>
  <si>
    <t>Seasonal Concepts Inc</t>
  </si>
  <si>
    <t>M&amp;J Seasonal Concepts LLC</t>
  </si>
  <si>
    <t>3 Seaonsal Concepts stores</t>
  </si>
  <si>
    <t>Manana Productions Inc</t>
  </si>
  <si>
    <t>Kentucky Fried Chicken Japan Ltd</t>
  </si>
  <si>
    <t>Mood Media Corp</t>
  </si>
  <si>
    <t>TruSonic Inc</t>
  </si>
  <si>
    <t>Morgan Stanley,East West Partners Inc</t>
  </si>
  <si>
    <t>Three Sisters Mountain Village</t>
  </si>
  <si>
    <t>Speedway Motorsports Inc</t>
  </si>
  <si>
    <t>New Hampshire Speedway Inc</t>
  </si>
  <si>
    <t>Pep Boys-Manny Moe &amp; Jack/The</t>
  </si>
  <si>
    <t>34 properties</t>
  </si>
  <si>
    <t>TabSafe Medical Services Inc</t>
  </si>
  <si>
    <t>2 Pharmacies</t>
  </si>
  <si>
    <t>Homax Products Inc</t>
  </si>
  <si>
    <t>Black Flag Brands LLC</t>
  </si>
  <si>
    <t>All Media Guide Holdings Inc</t>
  </si>
  <si>
    <t>Batteries Plus LLC</t>
  </si>
  <si>
    <t>Cameron Mitchell Restaurants LLC</t>
  </si>
  <si>
    <t>Mitchell's Fish Market,Cameron's Steakhouse</t>
  </si>
  <si>
    <t>Outfront Co</t>
  </si>
  <si>
    <t>Miracle Applications Corp/Old</t>
  </si>
  <si>
    <t>Marina Biotech Inc</t>
  </si>
  <si>
    <t>Rights/Teriparatide nasal spray</t>
  </si>
  <si>
    <t>World Fuel Services Corp</t>
  </si>
  <si>
    <t>AVCARD</t>
  </si>
  <si>
    <t>Restoration Hardware Inc</t>
  </si>
  <si>
    <t>Private Investor,Angelo Gordon &amp; Co LP (Fund: AG Realty Fund VII LP)</t>
  </si>
  <si>
    <t>Clementon Lake Park Co</t>
  </si>
  <si>
    <t>Pharma Services Holding Inc</t>
  </si>
  <si>
    <t>Film distribution rights</t>
  </si>
  <si>
    <t>Nutramax Products Inc</t>
  </si>
  <si>
    <t>Derma Sciences Inc</t>
  </si>
  <si>
    <t>First Aid Division</t>
  </si>
  <si>
    <t>Compudigm International Ltd</t>
  </si>
  <si>
    <t>Bally Technologies Inc</t>
  </si>
  <si>
    <t>Gaming Power and seePOWER applications</t>
  </si>
  <si>
    <t>Horizon Casino Hotel</t>
  </si>
  <si>
    <t>Brake Pro Ltd</t>
  </si>
  <si>
    <t>Affinia Group Holdings Inc</t>
  </si>
  <si>
    <t>Natural Comfort Inc</t>
  </si>
  <si>
    <t>Agricultural equipment dealership</t>
  </si>
  <si>
    <t>Halifax Group LLC/The</t>
  </si>
  <si>
    <t>PJ United Inc</t>
  </si>
  <si>
    <t>Isle of Capri Black Hawk LLC</t>
  </si>
  <si>
    <t>DE Shaw &amp; Co LP</t>
  </si>
  <si>
    <t>Best &amp; Co</t>
  </si>
  <si>
    <t>Smoky Market Foods Inc</t>
  </si>
  <si>
    <t>Los Gatos restaurant assets</t>
  </si>
  <si>
    <t>McCormick &amp; Co Inc/MD</t>
  </si>
  <si>
    <t>Lawry's</t>
  </si>
  <si>
    <t>Hampshire Group Ltd</t>
  </si>
  <si>
    <t>B2X Corp</t>
  </si>
  <si>
    <t>David Brooks Trademarks and Associated Inventory,Marisa Christina Trademarks</t>
  </si>
  <si>
    <t>Speyside Angling Supplied Ltd</t>
  </si>
  <si>
    <t>Abel Holdings Ltd</t>
  </si>
  <si>
    <t>Abel Automatics Inc</t>
  </si>
  <si>
    <t>BP PLC</t>
  </si>
  <si>
    <t>Private Co</t>
  </si>
  <si>
    <t>Convenience Stores</t>
  </si>
  <si>
    <t>Rogers Ltd</t>
  </si>
  <si>
    <t>Cryptography Research</t>
  </si>
  <si>
    <t>Ippolita</t>
  </si>
  <si>
    <t>CNK International Co Ltd</t>
  </si>
  <si>
    <t>Bio-Energy System Technologies Inc</t>
  </si>
  <si>
    <t>VMG Partners</t>
  </si>
  <si>
    <t>Colorescience</t>
  </si>
  <si>
    <t>Shoe Box Inc/The</t>
  </si>
  <si>
    <t>NexCen Brands Inc</t>
  </si>
  <si>
    <t>Frank Sinatra Enterprises LLC</t>
  </si>
  <si>
    <t>Apothecary Rx LLC,SDC Holdings LLC</t>
  </si>
  <si>
    <t>ROK Entertainment Group Inc</t>
  </si>
  <si>
    <t>Fun Little Movies</t>
  </si>
  <si>
    <t>Midea Group Co Ltd</t>
  </si>
  <si>
    <t>GD Midea Holding Co Ltd</t>
  </si>
  <si>
    <t>Patent rights,Hefei Hualing Co Ltd,Guangzhou Hualing Air Conditioning &amp; Equipment Co Ltd,C...</t>
  </si>
  <si>
    <t>Park Staffing Services</t>
  </si>
  <si>
    <t>Chick's Sporting Goods LLC</t>
  </si>
  <si>
    <t>Prime Focus Ltd</t>
  </si>
  <si>
    <t>Post Logic Studios,Frantic Films VFX</t>
  </si>
  <si>
    <t>Post production ops</t>
  </si>
  <si>
    <t>Pipeline Data Inc</t>
  </si>
  <si>
    <t>COCARD Marketing Group LLC</t>
  </si>
  <si>
    <t>Independent Film Development Corp</t>
  </si>
  <si>
    <t>Mediaset SpA</t>
  </si>
  <si>
    <t>Taodue</t>
  </si>
  <si>
    <t>Kimco Realty Corp,SB Capital Corp,Tiger Capital Group LLC,Planned Furniture Promotions,Nas...</t>
  </si>
  <si>
    <t>Nien Made Enterprise Co Ltd</t>
  </si>
  <si>
    <t>Custom Craft Co</t>
  </si>
  <si>
    <t>Nettwerk Music Group</t>
  </si>
  <si>
    <t>MAMA Group PLC</t>
  </si>
  <si>
    <t>Nettwerk Music Group business</t>
  </si>
  <si>
    <t>Pro-Build Holdings Inc</t>
  </si>
  <si>
    <t>Lumber &amp; building materials division</t>
  </si>
  <si>
    <t>Agricultural equipment dealership/Grand Forks</t>
  </si>
  <si>
    <t>Mainsail Partners</t>
  </si>
  <si>
    <t>Togo's Eateries Inc</t>
  </si>
  <si>
    <t>Tootsies Cabaret</t>
  </si>
  <si>
    <t>Smokey Bones Barbeque &amp; Grill</t>
  </si>
  <si>
    <t>Credit card account portfolio</t>
  </si>
  <si>
    <t>WantedList Inc</t>
  </si>
  <si>
    <t>www.GetNakedMovies.com</t>
  </si>
  <si>
    <t>Wal-Mart Stores Inc,SmartCentres</t>
  </si>
  <si>
    <t>Calloway Real Estate Investment Trust</t>
  </si>
  <si>
    <t>6 large scale shopping centres</t>
  </si>
  <si>
    <t>Overton's Inc</t>
  </si>
  <si>
    <t>Paragon Management Co LLC</t>
  </si>
  <si>
    <t>Santa Fe Square Shopping in Mesa Arizona</t>
  </si>
  <si>
    <t>Night club</t>
  </si>
  <si>
    <t>Florida bingo hall</t>
  </si>
  <si>
    <t>Exclusive Canadian distribution rights</t>
  </si>
  <si>
    <t>Catalyst Investment Holdings Ltd</t>
  </si>
  <si>
    <t>PGNX Capital Corp</t>
  </si>
  <si>
    <t>Westcoast Central Fill Ltd</t>
  </si>
  <si>
    <t>Nevion Europe AS</t>
  </si>
  <si>
    <t>Video Products Group Inc</t>
  </si>
  <si>
    <t>PHI Group Inc</t>
  </si>
  <si>
    <t>Pho Express International LLC</t>
  </si>
  <si>
    <t>Ortho Mattress Inc</t>
  </si>
  <si>
    <t>Gallery Corp</t>
  </si>
  <si>
    <t>Grupo Carso SAB de CV</t>
  </si>
  <si>
    <t>CompUSA Inc</t>
  </si>
  <si>
    <t>DLI Holding Corp</t>
  </si>
  <si>
    <t>First Round Capital,New Enterprise Associates Inc (Fund: New Enterprise Associates XII LP)</t>
  </si>
  <si>
    <t>Fertitta Colony Partners LLC</t>
  </si>
  <si>
    <t>Cole Cos</t>
  </si>
  <si>
    <t>Station Casinos Headquarters/NV</t>
  </si>
  <si>
    <t>Waggin' Train LLC</t>
  </si>
  <si>
    <t>Salem Avalanche</t>
  </si>
  <si>
    <t>Kennywood Entertainment</t>
  </si>
  <si>
    <t>Candover Investments PLC/Fund</t>
  </si>
  <si>
    <t>Amusement park holdings</t>
  </si>
  <si>
    <t>Western Sizzlin Corp/DE</t>
  </si>
  <si>
    <t>Itex Corp</t>
  </si>
  <si>
    <t>Discovery Communications Inc</t>
  </si>
  <si>
    <t>Ascent Capital Group Inc</t>
  </si>
  <si>
    <t>SmartBargains.com</t>
  </si>
  <si>
    <t>OPEX Corp</t>
  </si>
  <si>
    <t>Boewe Systec AG</t>
  </si>
  <si>
    <t>Opex Postal Technologies division</t>
  </si>
  <si>
    <t>Niscayah Group AB</t>
  </si>
  <si>
    <t>Securex Inc</t>
  </si>
  <si>
    <t>Cortec Group Inc,Baird Private Equity (Fund: Baird Capital Partners III LP)</t>
  </si>
  <si>
    <t>AmeriMark Direct LLC,JH Partners LLC (Fund: JH Investment Partners II LP),Prudential Capit...</t>
  </si>
  <si>
    <t>Dr Leonard's Healthcare Corp</t>
  </si>
  <si>
    <t>AdPads Inc</t>
  </si>
  <si>
    <t>Haley's Comet Casinos Inc</t>
  </si>
  <si>
    <t>FXLabs Studios Pvt Ltd</t>
  </si>
  <si>
    <t>Interactive Media Technology Inc</t>
  </si>
  <si>
    <t>Hudson Group Retail Specialists</t>
  </si>
  <si>
    <t>Encode Pharmaceuticals Inc</t>
  </si>
  <si>
    <t>CBR Inc</t>
  </si>
  <si>
    <t>CIFC Corp</t>
  </si>
  <si>
    <t>Deerfield &amp; Co LLC</t>
  </si>
  <si>
    <t>Canadian Broadcasting Corp</t>
  </si>
  <si>
    <t>International distribution rights and assets</t>
  </si>
  <si>
    <t>8 Don Pablo's Mexican Restaurants</t>
  </si>
  <si>
    <t>Mercedes-Benz of Escondido</t>
  </si>
  <si>
    <t>CP Textbooks,Harry's Bookstore,Indy's College Bookstore,Panther Bookstore,Ram Book and Sup...</t>
  </si>
  <si>
    <t>Cascade Helmet Holdings Inc</t>
  </si>
  <si>
    <t>Reiten &amp; Young International Inc</t>
  </si>
  <si>
    <t>Gordon Brothers Group LLC,Hilco Consumer Capital LLC</t>
  </si>
  <si>
    <t>Bombay brand</t>
  </si>
  <si>
    <t>Titan Global Holdings Inc</t>
  </si>
  <si>
    <t>Perfumania Holdings Inc</t>
  </si>
  <si>
    <t>Model Reorg Inc</t>
  </si>
  <si>
    <t>Brown &amp; Cole Stores LLC</t>
  </si>
  <si>
    <t>Marlin Firearms Co Inc</t>
  </si>
  <si>
    <t>Karat Platinum Inc</t>
  </si>
  <si>
    <t>Karat Platinum LLC</t>
  </si>
  <si>
    <t>1-800-Radiator Franchise Inc</t>
  </si>
  <si>
    <t>JMAC Radiator and Air</t>
  </si>
  <si>
    <t>Harlan Bakeries Inc</t>
  </si>
  <si>
    <t>Mix manufacturing facility</t>
  </si>
  <si>
    <t>2 agricultural equipment dealerships</t>
  </si>
  <si>
    <t>Imax Corp</t>
  </si>
  <si>
    <t>National Amusements Inc</t>
  </si>
  <si>
    <t>Feinstein Imax Theatre/RI</t>
  </si>
  <si>
    <t>Avoca Implement</t>
  </si>
  <si>
    <t>Mayfield Fund,Sequoia Capital Operations LLC (Fund: Sequoia Capital XI LP),Khosla Ventures...</t>
  </si>
  <si>
    <t>Studio Center Total Production</t>
  </si>
  <si>
    <t>Tonic Studios</t>
  </si>
  <si>
    <t>Systemax Inc</t>
  </si>
  <si>
    <t>Selected assets and retail stores</t>
  </si>
  <si>
    <t>AllianceBernstein Holding LP,New Enterprise Associates Inc (Fund: Accres Holding Inc),Colu...</t>
  </si>
  <si>
    <t>Hillcrest Laboratories Inc</t>
  </si>
  <si>
    <t>NY-DM Inc</t>
  </si>
  <si>
    <t>Columbia Beauty Supply</t>
  </si>
  <si>
    <t>Laundry By Design,C&amp;C California</t>
  </si>
  <si>
    <t>Ion Beam Applications</t>
  </si>
  <si>
    <t>PetroBeam Inc</t>
  </si>
  <si>
    <t>Marlin Equity Partners LLC</t>
  </si>
  <si>
    <t>Chatterbox International</t>
  </si>
  <si>
    <t>Consolidated Theatres LLC</t>
  </si>
  <si>
    <t>Harpo Productions Inc</t>
  </si>
  <si>
    <t>Antares Capital LLC,New World Angels Inc</t>
  </si>
  <si>
    <t>Nueva Cocina Foods Inc</t>
  </si>
  <si>
    <t>Williams Foods Inc</t>
  </si>
  <si>
    <t>Harry &amp; David Holdings Inc</t>
  </si>
  <si>
    <t>Wolferman's Inc</t>
  </si>
  <si>
    <t>Australian Enterprises LP</t>
  </si>
  <si>
    <t>RMD Corp</t>
  </si>
  <si>
    <t>AlpInvest Partners BV,PNC Mezzanine Capital</t>
  </si>
  <si>
    <t>Management Group,LNK Partners (Fund: LNK Partners LP)</t>
  </si>
  <si>
    <t>ABP Corp</t>
  </si>
  <si>
    <t>Modern Health Labs Inc</t>
  </si>
  <si>
    <t>Scalp Med</t>
  </si>
  <si>
    <t>3 Red Robin Franchised Restaurants/IN</t>
  </si>
  <si>
    <t>Red Robin Franchised Restaurant/NJ</t>
  </si>
  <si>
    <t>Amazon.com Inc</t>
  </si>
  <si>
    <t>Without A Box Inc</t>
  </si>
  <si>
    <t>Farmacias El Amal</t>
  </si>
  <si>
    <t>20 Drugstores</t>
  </si>
  <si>
    <t>Bill The Butcher Inc</t>
  </si>
  <si>
    <t>Smack Sportswear</t>
  </si>
  <si>
    <t>Urban Outfitters Inc</t>
  </si>
  <si>
    <t>J Franklin Styer Nurseries Inc</t>
  </si>
  <si>
    <t>Cameron Capital Corp</t>
  </si>
  <si>
    <t>Lee Wesley Restaurants LLC,South Coast Enterprises LLC</t>
  </si>
  <si>
    <t>J-BAR Corp</t>
  </si>
  <si>
    <t>GSM Enterprises</t>
  </si>
  <si>
    <t>BHS Enterprises</t>
  </si>
  <si>
    <t>Magic Arts &amp; Entertainment LLC</t>
  </si>
  <si>
    <t>NEW Capital Fund LP,Ceres Venture Fund LP,Women Angels LLC,Phenomenelle Angels</t>
  </si>
  <si>
    <t>TrafficCast Inc</t>
  </si>
  <si>
    <t>Outerwall Inc</t>
  </si>
  <si>
    <t>Redbox Automated Retail LLC</t>
  </si>
  <si>
    <t>Retail Ventures Inc</t>
  </si>
  <si>
    <t>VCDS Acquisition Holdings LLC,Emerald Capital Management LLC,Crystal Value LLC</t>
  </si>
  <si>
    <t>Value City Department Stores LLC</t>
  </si>
  <si>
    <t>Calence LLC</t>
  </si>
  <si>
    <t>Private Investor,Venrock Associates (Fund: Venrock Associates V LP)</t>
  </si>
  <si>
    <t>Second Rotation Inc</t>
  </si>
  <si>
    <t>Mrs Fields Holding Co Inc</t>
  </si>
  <si>
    <t>Great American Cookie Co Inc</t>
  </si>
  <si>
    <t>Dane County Robins Inc,Minnesota Robins Inc</t>
  </si>
  <si>
    <t>11 Franchised Restaurants</t>
  </si>
  <si>
    <t>Direct Response Media Inc</t>
  </si>
  <si>
    <t>Les Produits Aromatique Clair de Lune Inc</t>
  </si>
  <si>
    <t>Steelpoint Capital Partners LP,prAna Living LLC</t>
  </si>
  <si>
    <t>prAna</t>
  </si>
  <si>
    <t>International Fighting Organization Assets</t>
  </si>
  <si>
    <t>Precision Doors &amp; Hardware LLC</t>
  </si>
  <si>
    <t>Fortunoff Fine Jewelry &amp; Silverware LLC</t>
  </si>
  <si>
    <t>Stevi B's Inc</t>
  </si>
  <si>
    <t>Ram Realty Services</t>
  </si>
  <si>
    <t>11 Landscape Supply stores</t>
  </si>
  <si>
    <t>Nitches Inc</t>
  </si>
  <si>
    <t>Backwoods Equipment Co</t>
  </si>
  <si>
    <t>ADESA Inc</t>
  </si>
  <si>
    <t>Pennsylvania Auto Dealers' Exchange Inc</t>
  </si>
  <si>
    <t>Buzz Oates Group of Cos/The</t>
  </si>
  <si>
    <t>IRIS manufacturing plant</t>
  </si>
  <si>
    <t>AGT Enterprises Inc,Star-Cinema LLC</t>
  </si>
  <si>
    <t>6 theatres</t>
  </si>
  <si>
    <t>NewSpace Entertainment LLC</t>
  </si>
  <si>
    <t>Palace Sports &amp; Entertainment Inc</t>
  </si>
  <si>
    <t>OK Hockey LLC</t>
  </si>
  <si>
    <t>Tampa Bay Lightning</t>
  </si>
  <si>
    <t>Pevonia International LLC,Medicalia International LLC</t>
  </si>
  <si>
    <t>MediaTechnics Corp</t>
  </si>
  <si>
    <t>Media Technics Systems Inc</t>
  </si>
  <si>
    <t>Software Business Unit</t>
  </si>
  <si>
    <t>Virbac SA</t>
  </si>
  <si>
    <t>Sergeant's Pet Care Products Inc</t>
  </si>
  <si>
    <t>Consumer Brands Unit</t>
  </si>
  <si>
    <t>Renaissance Jewellery Ltd</t>
  </si>
  <si>
    <t>JBR Inc/NY</t>
  </si>
  <si>
    <t>Private Investor,Radius Capital Partners LLC,Windsong Brands LLC</t>
  </si>
  <si>
    <t>Ellen Tracy Inc</t>
  </si>
  <si>
    <t>Bruegger's Enterprises Inc</t>
  </si>
  <si>
    <t>Triangle Bagels Inc</t>
  </si>
  <si>
    <t>Equity Lifestyle Properties Inc</t>
  </si>
  <si>
    <t>Voyager RV Resort</t>
  </si>
  <si>
    <t>Opti-Flow LLC</t>
  </si>
  <si>
    <t>Nyer Medical Group Inc</t>
  </si>
  <si>
    <t>Bagel Factory Inc</t>
  </si>
  <si>
    <t>Sanmina Corp</t>
  </si>
  <si>
    <t>Hon Hai Precision Industry Co Ltd,Lenovo Group Ltd</t>
  </si>
  <si>
    <t>Certain computer assets</t>
  </si>
  <si>
    <t>Automotive Franchise Systems LLC</t>
  </si>
  <si>
    <t>Driven Brands Inc</t>
  </si>
  <si>
    <t>Autoqual,Drive N Style</t>
  </si>
  <si>
    <t>Javan Capital Partners LLC</t>
  </si>
  <si>
    <t>Countertop Co Inc/The</t>
  </si>
  <si>
    <t>Zabeel Investments</t>
  </si>
  <si>
    <t>Light Group LLC/The</t>
  </si>
  <si>
    <t>RealNetworks Inc</t>
  </si>
  <si>
    <t>Huizenga Holdings Inc</t>
  </si>
  <si>
    <t>Miami Dolphins Ltd</t>
  </si>
  <si>
    <t>Caribbean American Health Resorts Inc</t>
  </si>
  <si>
    <t>Momentum Medical Group Inc</t>
  </si>
  <si>
    <t>New Age Electronics Inc</t>
  </si>
  <si>
    <t>Missing Beat Music</t>
  </si>
  <si>
    <t>MyBandsMusic.com</t>
  </si>
  <si>
    <t>eSun Holdings Ltd</t>
  </si>
  <si>
    <t>Taubman Centers Inc</t>
  </si>
  <si>
    <t>Univision Communications Inc</t>
  </si>
  <si>
    <t>Univision Music Group</t>
  </si>
  <si>
    <t>Rita Restaurant Corp</t>
  </si>
  <si>
    <t>41 Don Pablo's mexican restaurant,Seven Hops Restaurants</t>
  </si>
  <si>
    <t>Quintana Capital Group LP</t>
  </si>
  <si>
    <t>Talen's Marine &amp; Fuel LLC</t>
  </si>
  <si>
    <t>Magic Arts and Entertainment Florida Inc</t>
  </si>
  <si>
    <t>4 Barnhill's buffet restaurants</t>
  </si>
  <si>
    <t>Petro Acquisitions Inc</t>
  </si>
  <si>
    <t>9 Convenience stores</t>
  </si>
  <si>
    <t>Toyota of Roswell</t>
  </si>
  <si>
    <t>Tytan Holdings Inc</t>
  </si>
  <si>
    <t>Freedom Grill Inc</t>
  </si>
  <si>
    <t>Capitol Propane LLC</t>
  </si>
  <si>
    <t>Buckeye Partners LP</t>
  </si>
  <si>
    <t>Farm &amp; Home Oil Retail Unit</t>
  </si>
  <si>
    <t>Rice Oil Co Inc</t>
  </si>
  <si>
    <t>Continental Alliance Corp,Restaurant Javan,L3 Investments,L3 Transportation</t>
  </si>
  <si>
    <t>Hawaiian Waters Adventure Park</t>
  </si>
  <si>
    <t>Executive Club/The</t>
  </si>
  <si>
    <t>OSL Holdings Inc</t>
  </si>
  <si>
    <t>Studio Store Direct Inc</t>
  </si>
  <si>
    <t>Courage International Inc</t>
  </si>
  <si>
    <t>Total Apparel Group Inc</t>
  </si>
  <si>
    <t>Petals Decorative Accents Inc</t>
  </si>
  <si>
    <t>Northern Cap Holdings Inc</t>
  </si>
  <si>
    <t>Fraleigh Nursery LLC</t>
  </si>
  <si>
    <t>Renew Life Formulas Inc</t>
  </si>
  <si>
    <t>Highland Capital Partners</t>
  </si>
  <si>
    <t>City Sports Inc</t>
  </si>
  <si>
    <t>CEDA Enterprises Inc</t>
  </si>
  <si>
    <t>Good Times Restaurants Inc</t>
  </si>
  <si>
    <t>Two franchised restaurants</t>
  </si>
  <si>
    <t>Tri-US Auto Radiator</t>
  </si>
  <si>
    <t>NewSpace Entertainment Inc</t>
  </si>
  <si>
    <t>Mama Fu's Noodle House</t>
  </si>
  <si>
    <t>Murphy Adams Restaurant Group</t>
  </si>
  <si>
    <t>Asian House Brand</t>
  </si>
  <si>
    <t>Robert Bosch GmbH</t>
  </si>
  <si>
    <t>Accu Industries Inc</t>
  </si>
  <si>
    <t>Biomed America Inc</t>
  </si>
  <si>
    <t>AAA Radiator Warehouse</t>
  </si>
  <si>
    <t>Musical Kidz LLC</t>
  </si>
  <si>
    <t>Trudy Corp</t>
  </si>
  <si>
    <t>Take Care Health Systems Inc</t>
  </si>
  <si>
    <t>Whole Health Management LLC</t>
  </si>
  <si>
    <t>Value Financial Services Inc</t>
  </si>
  <si>
    <t>Village RV Inc</t>
  </si>
  <si>
    <t>Imperial Showgirls Gentlemen's Club</t>
  </si>
  <si>
    <t>Distirbution Right</t>
  </si>
  <si>
    <t>Marathon Oil Corp</t>
  </si>
  <si>
    <t>15 stores/IL</t>
  </si>
  <si>
    <t>Coffee Equipment Co/The</t>
  </si>
  <si>
    <t>41 Restaurants</t>
  </si>
  <si>
    <t>Red Acre Capital LLC</t>
  </si>
  <si>
    <t>Personal Care Inc</t>
  </si>
  <si>
    <t>American Leisure Holdings Inc</t>
  </si>
  <si>
    <t>TL Acquisition Group LLC</t>
  </si>
  <si>
    <t>American Leisure Equities Corp</t>
  </si>
  <si>
    <t>American Leisure Group Ltd</t>
  </si>
  <si>
    <t>Travel Acquisitions Group LLC</t>
  </si>
  <si>
    <t>TraveLeaders</t>
  </si>
  <si>
    <t>Kayak Holdings LLC</t>
  </si>
  <si>
    <t>HoopsHype.com</t>
  </si>
  <si>
    <t>Nocturna Sleep LLC</t>
  </si>
  <si>
    <t>New Orleans Roast</t>
  </si>
  <si>
    <t>Douglas Theatre Co</t>
  </si>
  <si>
    <t>Three franchised restaurants</t>
  </si>
  <si>
    <t>Li'l Cricket Food Stores Inc</t>
  </si>
  <si>
    <t>Worsley Operating Cos</t>
  </si>
  <si>
    <t>Mustang Capital Advisors LP,Mustang Capital Management LLC</t>
  </si>
  <si>
    <t>Texor Petroleum Co</t>
  </si>
  <si>
    <t>Gordon Brothers Group LLC,Crystal Capital</t>
  </si>
  <si>
    <t>Como Fred David</t>
  </si>
  <si>
    <t>First Stage Guam Inc</t>
  </si>
  <si>
    <t>Kuraudia Co Ltd</t>
  </si>
  <si>
    <t>Chapel</t>
  </si>
  <si>
    <t>D&amp;M Fabrication Inc</t>
  </si>
  <si>
    <t>Professional Pharmacy/OK,Newt's Discount Pharmacy/OK</t>
  </si>
  <si>
    <t>Kid Brands Inc</t>
  </si>
  <si>
    <t>CoCaLo Inc</t>
  </si>
  <si>
    <t>LaJobi Industries Inc</t>
  </si>
  <si>
    <t>Williamson-Dickie Manufacturing Co</t>
  </si>
  <si>
    <t>Kodiak Group Holdings Inc</t>
  </si>
  <si>
    <t>Del Pharmaceuticals Inc</t>
  </si>
  <si>
    <t>Champ Car World Series LLC</t>
  </si>
  <si>
    <t>Indy Racing League LLC</t>
  </si>
  <si>
    <t>Hillcrest Capital Partners LLLP</t>
  </si>
  <si>
    <t>Norwest Equity Partners</t>
  </si>
  <si>
    <t>Shock Doctor Inc</t>
  </si>
  <si>
    <t>Current USA Inc</t>
  </si>
  <si>
    <t>12 Pharm store/The</t>
  </si>
  <si>
    <t>Southern Fulfillment Services LLC</t>
  </si>
  <si>
    <t>Pittman &amp; Davis</t>
  </si>
  <si>
    <t>DTS Inc/CA</t>
  </si>
  <si>
    <t>Reliance Anil Dhirubhai Ambani Group Ltd</t>
  </si>
  <si>
    <t>Digital Images Unit</t>
  </si>
  <si>
    <t>Iscom Inc</t>
  </si>
  <si>
    <t>LitFunding USA Inc</t>
  </si>
  <si>
    <t>Ecoly International Inc</t>
  </si>
  <si>
    <t>Premier Investment Properties Inc</t>
  </si>
  <si>
    <t>ComedyNet</t>
  </si>
  <si>
    <t>Friedman's Inc</t>
  </si>
  <si>
    <t>Greyson International Inc</t>
  </si>
  <si>
    <t>Damage Control Technologies Inc</t>
  </si>
  <si>
    <t>Minnesota Sports &amp; Entertainment,Naegele Sports LLC</t>
  </si>
  <si>
    <t>Minnesota Wild Hockey Club LP</t>
  </si>
  <si>
    <t>Dover Saddlery Inc</t>
  </si>
  <si>
    <t>Hobby Horse Clothing Co Inc</t>
  </si>
  <si>
    <t>Hudson Group Inc</t>
  </si>
  <si>
    <t>ED Publications Inc</t>
  </si>
  <si>
    <t>AVT Inc</t>
  </si>
  <si>
    <t>Jalapenos Mexican Restaurant</t>
  </si>
  <si>
    <t>DI Food &amp; Beverage of Las Vegas LLC</t>
  </si>
  <si>
    <t>Scores-Las Vegas</t>
  </si>
  <si>
    <t>Gannett Co Inc</t>
  </si>
  <si>
    <t>Radioshack Franchise/NY</t>
  </si>
  <si>
    <t>Maveron LLC,European Founders Fund,Menlo Ventures (Fund: Menlo Ventures X LP),Frazier Tech...</t>
  </si>
  <si>
    <t>VRDT Corp</t>
  </si>
  <si>
    <t>Diversified Global Holdings Inc/Old</t>
  </si>
  <si>
    <t>Berjaya Corp Bhd</t>
  </si>
  <si>
    <t>NF Roasters Corp</t>
  </si>
  <si>
    <t>Coyuchi Inc</t>
  </si>
  <si>
    <t>G&amp;R Acquisition Inc</t>
  </si>
  <si>
    <t>Max &amp; Erma's Restaurants Inc</t>
  </si>
  <si>
    <t>Mulberry Thai Silks Inc</t>
  </si>
  <si>
    <t>Neckwear Rights</t>
  </si>
  <si>
    <t>Prism Venture Partners LLC</t>
  </si>
  <si>
    <t>Mota Motors Inc</t>
  </si>
  <si>
    <t>Spirit Energy LLC</t>
  </si>
  <si>
    <t>83 Convenience Stores</t>
  </si>
  <si>
    <t>NL Sellersville Propco LLC</t>
  </si>
  <si>
    <t>Servant Healthcare Investments LLC</t>
  </si>
  <si>
    <t>Dialysis Clinic in Sellersville</t>
  </si>
  <si>
    <t>220 Disney Stores</t>
  </si>
  <si>
    <t>MJKL Enterprises Midwest LLC</t>
  </si>
  <si>
    <t>51 Restaurants/IL and KY</t>
  </si>
  <si>
    <t>Quad County Implement Inc</t>
  </si>
  <si>
    <t>Saddle Peak LLC</t>
  </si>
  <si>
    <t>8 Restaurants</t>
  </si>
  <si>
    <t>Tate BMW/MINI Dealership</t>
  </si>
  <si>
    <t>Valero Energy Corp</t>
  </si>
  <si>
    <t>72 Retail Sites</t>
  </si>
  <si>
    <t>Adams International Trucks Inc,Peterbilt Carolina Inc,Adams Collision Center</t>
  </si>
  <si>
    <t>TFO Holdings Inc</t>
  </si>
  <si>
    <t>AutoStar Realty Operating Partnership LP</t>
  </si>
  <si>
    <t>32 properties</t>
  </si>
  <si>
    <t>Xenon Pictures Inc</t>
  </si>
  <si>
    <t>Amexicano movie rights</t>
  </si>
  <si>
    <t>Mid-Land Equipment Co LC</t>
  </si>
  <si>
    <t>Allegro Corp</t>
  </si>
  <si>
    <t>Softland Corp</t>
  </si>
  <si>
    <t>Platinum Club II</t>
  </si>
  <si>
    <t>Minnesota Sports &amp; Entertainment</t>
  </si>
  <si>
    <t>Minnesota Swarm</t>
  </si>
  <si>
    <t>FPO Inc</t>
  </si>
  <si>
    <t>Mel's Market,Joelle's,Simon's</t>
  </si>
  <si>
    <t>Shandler Enterprises</t>
  </si>
  <si>
    <t>Southland Entertainment LLC</t>
  </si>
  <si>
    <t>Alabama Adventure Amusement Park</t>
  </si>
  <si>
    <t>L.I.D. Ltd</t>
  </si>
  <si>
    <t>Bidz.com Inc,AV Jewelry of New York,Kiran Jewelers Inc,Fairway Diamond Inc</t>
  </si>
  <si>
    <t>Jewelry Inventory</t>
  </si>
  <si>
    <t>NAOC Holdings</t>
  </si>
  <si>
    <t>PC Club</t>
  </si>
  <si>
    <t>Steinway Musical Instruments Inc</t>
  </si>
  <si>
    <t>ArkivMusic LLC</t>
  </si>
  <si>
    <t>Cyrte Investments BV</t>
  </si>
  <si>
    <t>Spitfire Pictures</t>
  </si>
  <si>
    <t>Blue Earth Solutions Inc</t>
  </si>
  <si>
    <t>Blue Earth Solutions Inc/Old</t>
  </si>
  <si>
    <t>Simplicity Inc</t>
  </si>
  <si>
    <t>Coffee Vision Inc,Coffee Vision Atlantic Inc</t>
  </si>
  <si>
    <t>Kentucky Speedway LLC</t>
  </si>
  <si>
    <t>Kentucky Raceway LLC</t>
  </si>
  <si>
    <t>RedEnvelope Inc</t>
  </si>
  <si>
    <t>Cordova Smart &amp; Williams LLC (Fund: Williams Capital Partners LP),Goldman Sachs Capital Pa...</t>
  </si>
  <si>
    <t>H2O Plus LLC</t>
  </si>
  <si>
    <t>Xerox Corp</t>
  </si>
  <si>
    <t>Saxon Business Systems Inc</t>
  </si>
  <si>
    <t>EarthBlock Technologies Inc</t>
  </si>
  <si>
    <t>American Football Alumni Inc</t>
  </si>
  <si>
    <t>Gordon Brothers Group LLC,Hilco Merchant Resources LLC,Windsong Brands LLC,Bluestar Allian...</t>
  </si>
  <si>
    <t>Sharper Image Corp</t>
  </si>
  <si>
    <t>Exopack Holding Corp</t>
  </si>
  <si>
    <t>Dynamic Solutions Unlimited LLC</t>
  </si>
  <si>
    <t>Newmarket film business</t>
  </si>
  <si>
    <t>Balducci's LLC</t>
  </si>
  <si>
    <t>High Noon</t>
  </si>
  <si>
    <t>Orbach Group LLC/The</t>
  </si>
  <si>
    <t>13 Manhattan Apartment Buildings</t>
  </si>
  <si>
    <t>Tishman Speyer Properties LP</t>
  </si>
  <si>
    <t>Union Investment Real Estate AG</t>
  </si>
  <si>
    <t>New-build office block</t>
  </si>
  <si>
    <t>JM Smucker Co/The</t>
  </si>
  <si>
    <t>Folgers Coffee Co/The</t>
  </si>
  <si>
    <t>B&amp;B Muffler &amp; Radiator</t>
  </si>
  <si>
    <t>B&amp;B Radiator</t>
  </si>
  <si>
    <t>Credit Suisse Asset Management LLC (Fund: Indiana Investment Fund I LP),Spire Capital Part...</t>
  </si>
  <si>
    <t>Just Marketing Inc</t>
  </si>
  <si>
    <t>Lucky Lucy D LLC</t>
  </si>
  <si>
    <t>Speedway Casino gaming assets</t>
  </si>
  <si>
    <t>Ashkenazy Acquisition Corp</t>
  </si>
  <si>
    <t>Joske's Building - Rivercenter</t>
  </si>
  <si>
    <t>Papyrus Australia Ltd</t>
  </si>
  <si>
    <t>QFL Photographics Pty Ltd</t>
  </si>
  <si>
    <t>KCM Holdings Corp</t>
  </si>
  <si>
    <t>Asiana Corp</t>
  </si>
  <si>
    <t>Good Life China Corp</t>
  </si>
  <si>
    <t>IEXPAY</t>
  </si>
  <si>
    <t>Kenkou Corp</t>
  </si>
  <si>
    <t>Kenkou USA Inc</t>
  </si>
  <si>
    <t>Versa Capital Management LLC</t>
  </si>
  <si>
    <t>Black Angus Steakhouse</t>
  </si>
  <si>
    <t>Express Scripts Holding Co</t>
  </si>
  <si>
    <t>CuraScript Infusion Pharmacy Inc</t>
  </si>
  <si>
    <t>Magic Springs Development Co LLC</t>
  </si>
  <si>
    <t>PARC Management LLC</t>
  </si>
  <si>
    <t>Magic Springs &amp; Crystal Falls</t>
  </si>
  <si>
    <t>BV Investment Partners</t>
  </si>
  <si>
    <t>Petty Holding Co Inc</t>
  </si>
  <si>
    <t>Gart Capital Partners,Colorado Baggage Co</t>
  </si>
  <si>
    <t>Bag'n Baggage Ltd</t>
  </si>
  <si>
    <t>TSM Capital</t>
  </si>
  <si>
    <t>Billabong International Ltd</t>
  </si>
  <si>
    <t>Quiet Flight Surf Shop Inc</t>
  </si>
  <si>
    <t>Meade Instruments Corp</t>
  </si>
  <si>
    <t>ThoughtWorthy Media Inc</t>
  </si>
  <si>
    <t>Certain website and technology assets</t>
  </si>
  <si>
    <t>Dahle Management Corp</t>
  </si>
  <si>
    <t>Seven Dahle's Big &amp; Tall men's stores/Salt Lake City</t>
  </si>
  <si>
    <t>East West Partners Inc</t>
  </si>
  <si>
    <t>Colorado Mountain Express Inc</t>
  </si>
  <si>
    <t>Green Valley Acquisition Co LLC</t>
  </si>
  <si>
    <t>Atlantis Petroleum LLC</t>
  </si>
  <si>
    <t>Uni-Marts LLC</t>
  </si>
  <si>
    <t>ArchBrook Laguna LLC</t>
  </si>
  <si>
    <t>I Lehrhoff &amp; Co Inc</t>
  </si>
  <si>
    <t>Eckler Industries Inc</t>
  </si>
  <si>
    <t>Performance Products Euro</t>
  </si>
  <si>
    <t>Rockwall Holdings Inc</t>
  </si>
  <si>
    <t>Hanalei Bay Restaurant Group Inc</t>
  </si>
  <si>
    <t>TEEVEE Toons Inc</t>
  </si>
  <si>
    <t>TVT recording assets</t>
  </si>
  <si>
    <t>Cookie Jar Entertainment Inc</t>
  </si>
  <si>
    <t>North by East Entertainment Ltd</t>
  </si>
  <si>
    <t>Wire Way LLC</t>
  </si>
  <si>
    <t>AIM Learning Group Inc</t>
  </si>
  <si>
    <t>Sunburst Visual Media,Learn36 TM,Teacher's Media Co</t>
  </si>
  <si>
    <t>American Addiction Centers Inc</t>
  </si>
  <si>
    <t>ABTTC Inc</t>
  </si>
  <si>
    <t>CNH Global NV</t>
  </si>
  <si>
    <t>Dealership Assets</t>
  </si>
  <si>
    <t>Unnamed Buyer,Rose Tech Ventures LLC,Cayuga Venture Fund</t>
  </si>
  <si>
    <t>Instinctiv Inc</t>
  </si>
  <si>
    <t>Celebrate Express Inc</t>
  </si>
  <si>
    <t>Wright Investors' Service Holdings Inc</t>
  </si>
  <si>
    <t>Mannington Mills Inc</t>
  </si>
  <si>
    <t>Burke Industries Inc</t>
  </si>
  <si>
    <t>Rock Hill Capital Group LLC</t>
  </si>
  <si>
    <t>Integrated AV Systems LLC</t>
  </si>
  <si>
    <t>Progress Software Corp</t>
  </si>
  <si>
    <t>Mindreef Inc</t>
  </si>
  <si>
    <t>Penske Truck Leasing Co LP</t>
  </si>
  <si>
    <t>YouBlast Global Inc</t>
  </si>
  <si>
    <t>Sahara Media Inc</t>
  </si>
  <si>
    <t>Peter Pan Motors Inc</t>
  </si>
  <si>
    <t>Marwit Capital LLC</t>
  </si>
  <si>
    <t>9 retail stores</t>
  </si>
  <si>
    <t>Bowman Barber and Beauty Supply Co</t>
  </si>
  <si>
    <t>PreVu Inc</t>
  </si>
  <si>
    <t>G-III Apparel Group Ltd</t>
  </si>
  <si>
    <t>Outlet store and e-commerce assets</t>
  </si>
  <si>
    <t>Water Park in Phoenix</t>
  </si>
  <si>
    <t>ADCO South Medical Supplies Inc</t>
  </si>
  <si>
    <t>Michael Groveman and Carly Andrews Inc</t>
  </si>
  <si>
    <t>Bill Blass Ltd</t>
  </si>
  <si>
    <t>Basketball Tournament Enterprises Inc</t>
  </si>
  <si>
    <t>Lowe's Cos Inc</t>
  </si>
  <si>
    <t>Marble &amp; Granite Works Inc</t>
  </si>
  <si>
    <t>Trans-Lux Corp</t>
  </si>
  <si>
    <t>Entertainment division</t>
  </si>
  <si>
    <t>Around The Block LLC</t>
  </si>
  <si>
    <t>Point.360</t>
  </si>
  <si>
    <t>DNS Digital Post</t>
  </si>
  <si>
    <t>Newport Digital Technologies Inc</t>
  </si>
  <si>
    <t>Inka Grill</t>
  </si>
  <si>
    <t>Valuable Group</t>
  </si>
  <si>
    <t>Restaurants on the Run</t>
  </si>
  <si>
    <t>Restaurants on the Run/Old</t>
  </si>
  <si>
    <t>Wyeth LLC</t>
  </si>
  <si>
    <t>Thermacare</t>
  </si>
  <si>
    <t>6 Bingo Halls/SC</t>
  </si>
  <si>
    <t>InterWest Partners LLC,CenterPoint Ventures,Braemar Energy Ventures (Fund: Braemar Energy ...</t>
  </si>
  <si>
    <t>Nuventix Inc</t>
  </si>
  <si>
    <t>InterTech Group Inc/The</t>
  </si>
  <si>
    <t>Summit Industrial Income REIT</t>
  </si>
  <si>
    <t>Primus Developments LLP</t>
  </si>
  <si>
    <t>Simmonds Restaurant Management</t>
  </si>
  <si>
    <t>Burger King Holdings Inc</t>
  </si>
  <si>
    <t>72 Burger King restaurants</t>
  </si>
  <si>
    <t>WMAC Holdings Corp</t>
  </si>
  <si>
    <t>Paradigm System Solutions Inc</t>
  </si>
  <si>
    <t>Volcom Inc</t>
  </si>
  <si>
    <t>Laguna Surf &amp; Sport</t>
  </si>
  <si>
    <t>Brown Jug Inc</t>
  </si>
  <si>
    <t>Liquor Stores N.A. Ltd</t>
  </si>
  <si>
    <t>19 liquor stores</t>
  </si>
  <si>
    <t>Cantor Fitzgerald LP</t>
  </si>
  <si>
    <t>Greyhawk Capital Management</t>
  </si>
  <si>
    <t>Reinstein-Ross Ltd</t>
  </si>
  <si>
    <t>Expo Holding Inc</t>
  </si>
  <si>
    <t>Southern Candle Inc</t>
  </si>
  <si>
    <t>ING Groep NV</t>
  </si>
  <si>
    <t>Mattone Group/The</t>
  </si>
  <si>
    <t>Roosevelt Raceway Center</t>
  </si>
  <si>
    <t>Gottschalks Inc</t>
  </si>
  <si>
    <t>Forest City Enterprises Inc</t>
  </si>
  <si>
    <t>Store/Antelope Valley Mall</t>
  </si>
  <si>
    <t>Grupo Alternativa S.A.</t>
  </si>
  <si>
    <t>North American Division</t>
  </si>
  <si>
    <t>Rosa Mexicano Co</t>
  </si>
  <si>
    <t>EV Transportation Inc</t>
  </si>
  <si>
    <t>EV Rental Cars LLC</t>
  </si>
  <si>
    <t>Russell-Newman Inc</t>
  </si>
  <si>
    <t>KN Karen Neuburger/R</t>
  </si>
  <si>
    <t>New York Dragons</t>
  </si>
  <si>
    <t>Little River Band Ottawa Indians/The</t>
  </si>
  <si>
    <t>Great Lakes Downs</t>
  </si>
  <si>
    <t>Pikes Peak International Raceway LLC</t>
  </si>
  <si>
    <t>Jollibee Foods Corp</t>
  </si>
  <si>
    <t>Chow Fun Holdings LLC</t>
  </si>
  <si>
    <t>Missy division</t>
  </si>
  <si>
    <t>UTV Software Communications Ltd</t>
  </si>
  <si>
    <t>Revlon Inc</t>
  </si>
  <si>
    <t>Hypermarcas SA</t>
  </si>
  <si>
    <t>Ceil Comercio e Distribuidora Ltda</t>
  </si>
  <si>
    <t>Sincere Co Ltd/The</t>
  </si>
  <si>
    <t>TR-BIZ LLC</t>
  </si>
  <si>
    <t>Fairweather Group/The</t>
  </si>
  <si>
    <t>Designer Depot</t>
  </si>
  <si>
    <t>Encompass Group Affiliates Inc</t>
  </si>
  <si>
    <t>Tritronics Inc</t>
  </si>
  <si>
    <t>Zones Inc</t>
  </si>
  <si>
    <t>TableMAX Corp</t>
  </si>
  <si>
    <t>TableMax Holdings LLC</t>
  </si>
  <si>
    <t>Kairos Capital Partners</t>
  </si>
  <si>
    <t>Luxury Ventures LLC</t>
  </si>
  <si>
    <t>Blyth Inc</t>
  </si>
  <si>
    <t>As We Change</t>
  </si>
  <si>
    <t>Ropart Asset Management LLC</t>
  </si>
  <si>
    <t>ViSalus Holdings LLC</t>
  </si>
  <si>
    <t>Western Capital Resources Inc</t>
  </si>
  <si>
    <t>Four payday operations &amp; on-line website</t>
  </si>
  <si>
    <t>Charter Holdings Inc,Private Investor,White Oak Capital Partners LP,Capital Point Partners LP</t>
  </si>
  <si>
    <t>Rockfish Seafood Grill LLC</t>
  </si>
  <si>
    <t>Bertelsmann SE &amp; Co KGaA</t>
  </si>
  <si>
    <t>Nutripure Beverages Inc</t>
  </si>
  <si>
    <t>Moneymaker 1 LLC</t>
  </si>
  <si>
    <t>Planet Hollywood International Inc</t>
  </si>
  <si>
    <t>Group360 Visual Communications</t>
  </si>
  <si>
    <t>CAPS Group/The</t>
  </si>
  <si>
    <t>Clutch Studios</t>
  </si>
  <si>
    <t>BPP Automotive Group Inc</t>
  </si>
  <si>
    <t>Issaquah Chevrolet Franchise</t>
  </si>
  <si>
    <t>Colonial Foods LLC</t>
  </si>
  <si>
    <t>99 Pizza Hut units</t>
  </si>
  <si>
    <t>US Salt LLC</t>
  </si>
  <si>
    <t>Greylock Partners</t>
  </si>
  <si>
    <t>Lytro Inc</t>
  </si>
  <si>
    <t>Veterinarian's Best Inc</t>
  </si>
  <si>
    <t>PBL Capital II LP</t>
  </si>
  <si>
    <t>Purse Store/The</t>
  </si>
  <si>
    <t>LunaBoston.com</t>
  </si>
  <si>
    <t>Berwind Corp</t>
  </si>
  <si>
    <t>Old Mother Hubbard Inc</t>
  </si>
  <si>
    <t>Parts Depot Inc</t>
  </si>
  <si>
    <t>Parts Distribution/Retail</t>
  </si>
  <si>
    <t>ABC Auctions</t>
  </si>
  <si>
    <t>ABC Minneapolis,ABC Nashville LLC</t>
  </si>
  <si>
    <t>Barfly Interactive Networks</t>
  </si>
  <si>
    <t>True Games Interactive</t>
  </si>
  <si>
    <t>Southern California Pizza Co LLC</t>
  </si>
  <si>
    <t>DBR Lease Exchange</t>
  </si>
  <si>
    <t>15 retail portfolios</t>
  </si>
  <si>
    <t>Romano's Macaroni Grill Inc</t>
  </si>
  <si>
    <t>Sports Network Fantasy Ltd</t>
  </si>
  <si>
    <t>PacWest Equities Inc</t>
  </si>
  <si>
    <t>Pick-Your-Part Auto Wrecking</t>
  </si>
  <si>
    <t>Global Entertainment Corp</t>
  </si>
  <si>
    <t>Cragar Industries Inc</t>
  </si>
  <si>
    <t>TJX Cos Inc/The</t>
  </si>
  <si>
    <t>Crystal Capital,Versa Capital Management LLC</t>
  </si>
  <si>
    <t>Bob's Stores LLC</t>
  </si>
  <si>
    <t>SpePharm Holding BV,JHP Pharmaceuticals LLC</t>
  </si>
  <si>
    <t>Dantrium</t>
  </si>
  <si>
    <t>Equity One Inc,DRA Advisors LLC</t>
  </si>
  <si>
    <t>Plantation Marketplace,Penn Dutch Plaza,1900/2000 Offices</t>
  </si>
  <si>
    <t>Tidalwave Holdings Inc</t>
  </si>
  <si>
    <t>Double JNP Ventures North LLC,Wally &amp; Bernie/NH</t>
  </si>
  <si>
    <t>Steve &amp; Barry's LLC</t>
  </si>
  <si>
    <t>Bay Harbour Management LC</t>
  </si>
  <si>
    <t>Intermedia Outdoors Inc</t>
  </si>
  <si>
    <t>Barrett Productions</t>
  </si>
  <si>
    <t>Suggestion Box Inc</t>
  </si>
  <si>
    <t>Changing Times Vitamins Inc</t>
  </si>
  <si>
    <t>Sun &amp; Skin Care Research Inc</t>
  </si>
  <si>
    <t>No-Ad Suncare Trademark</t>
  </si>
  <si>
    <t>Michael Hill International Ltd</t>
  </si>
  <si>
    <t>17 stores</t>
  </si>
  <si>
    <t>Bradco Supply Corp</t>
  </si>
  <si>
    <t>Orchard Brands Corp</t>
  </si>
  <si>
    <t>Misses apparel catalog credit card receivables</t>
  </si>
  <si>
    <t>Millett Industries Inc</t>
  </si>
  <si>
    <t>DriverSide Inc</t>
  </si>
  <si>
    <t>fairBenjamin</t>
  </si>
  <si>
    <t>Global Music Group - New York</t>
  </si>
  <si>
    <t>HOM Furniture Inc</t>
  </si>
  <si>
    <t>Gabberts Design Studio &amp; Fine Furnishings</t>
  </si>
  <si>
    <t>LogiBio Albany Terminal LLC</t>
  </si>
  <si>
    <t>Ethanol and petroleum products distribution terminal/NY</t>
  </si>
  <si>
    <t>O'Brien Auto Group</t>
  </si>
  <si>
    <t>DeLon Auto Center</t>
  </si>
  <si>
    <t>Braggs Electric Construction Co</t>
  </si>
  <si>
    <t>CDI Contractors Inc,CDI Contractors LLC</t>
  </si>
  <si>
    <t>Taher Inc</t>
  </si>
  <si>
    <t>Westar Foods Inc</t>
  </si>
  <si>
    <t>6 Restaurants/IA</t>
  </si>
  <si>
    <t>Popular Club</t>
  </si>
  <si>
    <t>Midwest First Star Inc</t>
  </si>
  <si>
    <t>23 Restaurants/IN</t>
  </si>
  <si>
    <t>Gate to Wire Solutions Inc</t>
  </si>
  <si>
    <t>Gate to Wire Solutions Inc/Old</t>
  </si>
  <si>
    <t>Direct Management Group Inc</t>
  </si>
  <si>
    <t>rights of kd lang February 2008 live concert</t>
  </si>
  <si>
    <t>Walsh Bros,US Business Interiors Inc/AZ</t>
  </si>
  <si>
    <t>Nioxin Research Laboratories Inc</t>
  </si>
  <si>
    <t>Belltower Entertainment Corp</t>
  </si>
  <si>
    <t>CaliCo Entertainment Group Inc</t>
  </si>
  <si>
    <t>Top Sail Productions LLC</t>
  </si>
  <si>
    <t>Made In America Entertainment Inc</t>
  </si>
  <si>
    <t>Lagardere SCA</t>
  </si>
  <si>
    <t>Delstar Cos Inc</t>
  </si>
  <si>
    <t>Binda SPA</t>
  </si>
  <si>
    <t>Advanced Watch Group Ltd</t>
  </si>
  <si>
    <t>11 Pawnshops/NV</t>
  </si>
  <si>
    <t>Capitol Films Ltd</t>
  </si>
  <si>
    <t>$5 a Day North American rights</t>
  </si>
  <si>
    <t>Noxzema Skin Care Brand</t>
  </si>
  <si>
    <t>Feld Entertainment Inc</t>
  </si>
  <si>
    <t>Motor Sports Unit</t>
  </si>
  <si>
    <t>Providence Equity Partners Inc</t>
  </si>
  <si>
    <t>World Endurance Holdings</t>
  </si>
  <si>
    <t>Interpret LLC</t>
  </si>
  <si>
    <t>Aquarium Products Business</t>
  </si>
  <si>
    <t>Kirkland's Inc</t>
  </si>
  <si>
    <t>Wabtec Corp/DE</t>
  </si>
  <si>
    <t>Standard Car Truck Co</t>
  </si>
  <si>
    <t>Napster Inc</t>
  </si>
  <si>
    <t>Eco Animal Health Group PLC</t>
  </si>
  <si>
    <t>Interpet LLC</t>
  </si>
  <si>
    <t>TC Global Inc</t>
  </si>
  <si>
    <t>Keurig Green Mountain Inc</t>
  </si>
  <si>
    <t>Star Struck Ltd,ProTeam Inc</t>
  </si>
  <si>
    <t>Hoyu Co Ltd</t>
  </si>
  <si>
    <t>Samy Cos Inc</t>
  </si>
  <si>
    <t>Dynamix Jewelry Group</t>
  </si>
  <si>
    <t>JewelAmerica Inc</t>
  </si>
  <si>
    <t>Five Restaurant properties</t>
  </si>
  <si>
    <t>U-Swirl Yogurt Inc</t>
  </si>
  <si>
    <t>U-Swirl Inc</t>
  </si>
  <si>
    <t>U-Swirl Frozen Yogurt concept</t>
  </si>
  <si>
    <t>Jeremiahs International</t>
  </si>
  <si>
    <t>Gap Inc/The</t>
  </si>
  <si>
    <t>Athleta Inc</t>
  </si>
  <si>
    <t>Devine Racing Management LLC</t>
  </si>
  <si>
    <t>Octavian Global Technologies Inc</t>
  </si>
  <si>
    <t>Los Angeles Marathon/The</t>
  </si>
  <si>
    <t>Symrise AG</t>
  </si>
  <si>
    <t>Manheimer Fragrances,Intercontinental Fragrances</t>
  </si>
  <si>
    <t>Waverly brand</t>
  </si>
  <si>
    <t>Alloy Inc</t>
  </si>
  <si>
    <t>dELiA*s Inc</t>
  </si>
  <si>
    <t>Barrand Inc</t>
  </si>
  <si>
    <t>Foot Locker Inc</t>
  </si>
  <si>
    <t>CSS Brand</t>
  </si>
  <si>
    <t>Best Buy Co Inc,Intel Corp,Jafco Co Ltd,Polycom Inc,Panasonic Venture Group Inc,DAG Ventur...</t>
  </si>
  <si>
    <t>Avnera Corp</t>
  </si>
  <si>
    <t>AGI Dermatics</t>
  </si>
  <si>
    <t>CVC Capital Partners Ltd</t>
  </si>
  <si>
    <t>Pilot Travel Centers LLC</t>
  </si>
  <si>
    <t>Tech Coast Angels Inc,Lehman Brothers Securities NV,Pasadena Angels Inc,Draper Fisher Jurv...</t>
  </si>
  <si>
    <t>MyShape Inc</t>
  </si>
  <si>
    <t>Railroad Bazaar LLC</t>
  </si>
  <si>
    <t>Prime Active Capital PLC</t>
  </si>
  <si>
    <t>In2Wireless</t>
  </si>
  <si>
    <t>Automotive Cooling Products Inc</t>
  </si>
  <si>
    <t>Pilot Corp/US</t>
  </si>
  <si>
    <t>Transom Capital Group</t>
  </si>
  <si>
    <t>Good Living Labs LLC</t>
  </si>
  <si>
    <t>Capital Franchising Inc</t>
  </si>
  <si>
    <t>Bread Garden Franchising Inc</t>
  </si>
  <si>
    <t>LP Gas Co</t>
  </si>
  <si>
    <t>Fuelcast</t>
  </si>
  <si>
    <t>Bhootan</t>
  </si>
  <si>
    <t>Patterson Cos Inc</t>
  </si>
  <si>
    <t>Columbus Serum Co</t>
  </si>
  <si>
    <t>Mercury Group of Cos/The</t>
  </si>
  <si>
    <t>Phillips &amp; Co</t>
  </si>
  <si>
    <t>Xanterra Parks &amp; Resorts Inc</t>
  </si>
  <si>
    <t>Lakes Entertainment Inc</t>
  </si>
  <si>
    <t>Emerald Oil Inc</t>
  </si>
  <si>
    <t>Dr Fresh Inc</t>
  </si>
  <si>
    <t>Tek Brand,Bianca Brand,Dentax Brand</t>
  </si>
  <si>
    <t>Helen of Troy Ltd</t>
  </si>
  <si>
    <t>Ogilvie Brand</t>
  </si>
  <si>
    <t>Naterra International Inc</t>
  </si>
  <si>
    <t>Baby Magic Brand</t>
  </si>
  <si>
    <t>Village Co/The</t>
  </si>
  <si>
    <t>Health &amp; Beauty Products</t>
  </si>
  <si>
    <t>KCM Brands LLC</t>
  </si>
  <si>
    <t>Chubs Brand,Tussy Brand,Black Orchid Brand,Dorothy Grey Brand</t>
  </si>
  <si>
    <t>Dr. Willmar Schwabe GmbH</t>
  </si>
  <si>
    <t>Enzymatic Therapy Inc</t>
  </si>
  <si>
    <t>Alorad Inc</t>
  </si>
  <si>
    <t>www.petplanetrx.com</t>
  </si>
  <si>
    <t>VG's Food Center Inc,VG's Pharmacy Inc</t>
  </si>
  <si>
    <t>17 Retail grocery stores</t>
  </si>
  <si>
    <t>Lantis Eyewear Corp</t>
  </si>
  <si>
    <t>Driveline Retail Solutions</t>
  </si>
  <si>
    <t>Lantis Merchandising Services</t>
  </si>
  <si>
    <t>Mac 1 Industries</t>
  </si>
  <si>
    <t>World Mortgage Exchange Group Inc</t>
  </si>
  <si>
    <t>Apollo Capital Group Inc</t>
  </si>
  <si>
    <t>Southwest Casino Corp</t>
  </si>
  <si>
    <t>Black Diamond Commercial Finance LLC</t>
  </si>
  <si>
    <t>North Metro Harness Initiative LLC</t>
  </si>
  <si>
    <t>Sean John Clothing Inc</t>
  </si>
  <si>
    <t>Enyce Holdings LLC</t>
  </si>
  <si>
    <t>McKesson Corp</t>
  </si>
  <si>
    <t>Specialty pharmacy services</t>
  </si>
  <si>
    <t>16 retail locations/Florida</t>
  </si>
  <si>
    <t>Bay Partners LLC,Crosslink Capital Inc,Leapfrog Ventures,BlueRun Ventures,Menlo Ventures (...</t>
  </si>
  <si>
    <t>Like.com</t>
  </si>
  <si>
    <t>Ticketmaster Entertainment Inc</t>
  </si>
  <si>
    <t>Patriarch Partners LLC</t>
  </si>
  <si>
    <t>IMG Holdings Inc,Felagastyring EHF,Vorumerkjastyring EHF</t>
  </si>
  <si>
    <t>Indie Ranch Media Inc</t>
  </si>
  <si>
    <t>Web Commerce Inc</t>
  </si>
  <si>
    <t>BTWW Retail LP</t>
  </si>
  <si>
    <t>Marwit Capital Partners II LP</t>
  </si>
  <si>
    <t>22 retail stores</t>
  </si>
  <si>
    <t>White Bear Productions Inc</t>
  </si>
  <si>
    <t>Mission Ventures LLC,Deer Management Co LLC</t>
  </si>
  <si>
    <t>Town Auto Group</t>
  </si>
  <si>
    <t>Wenatchee Chrysler Dodge franchise</t>
  </si>
  <si>
    <t>ScentAir Technologies Inc</t>
  </si>
  <si>
    <t>EnviroScent</t>
  </si>
  <si>
    <t>Centerbridge Capital Partners LLC (Fund: Centerbridge Capital Partners I LP),Fortress Inve...</t>
  </si>
  <si>
    <t>Management Group,Prudential Capital Partners (Fund: Prudential Capital Partners III LP)</t>
  </si>
  <si>
    <t>PartsChannel Inc</t>
  </si>
  <si>
    <t>Video Box Studios</t>
  </si>
  <si>
    <t>Gottaplay Interactive Inc</t>
  </si>
  <si>
    <t>DONOBi Customers &amp; Assets</t>
  </si>
  <si>
    <t>2 retail locations</t>
  </si>
  <si>
    <t>Performance Automotive Group Inc</t>
  </si>
  <si>
    <t>Blue Holdings Inc</t>
  </si>
  <si>
    <t>Headgear Inc</t>
  </si>
  <si>
    <t>Lithia Chrysler Jeep Dodge</t>
  </si>
  <si>
    <t>Sample Digital Holdings LLC</t>
  </si>
  <si>
    <t>Encoding and Media Services</t>
  </si>
  <si>
    <t>Trian Fund Management LP</t>
  </si>
  <si>
    <t>North American rights to movie</t>
  </si>
  <si>
    <t>Carroll Industries Inc/MS</t>
  </si>
  <si>
    <t>Heath Outdoor Products</t>
  </si>
  <si>
    <t>Purple Martin Products Unit</t>
  </si>
  <si>
    <t>SunOpta Inc</t>
  </si>
  <si>
    <t>Central MN Ethanol Coop</t>
  </si>
  <si>
    <t>Las Vegas Sports Consultants Inc</t>
  </si>
  <si>
    <t>Private Investor,RockPort Capital Partners LLC,Venrock Associates (Fund: Venrock Associate...</t>
  </si>
  <si>
    <t>Dine Out-In</t>
  </si>
  <si>
    <t>Private Media Group Inc</t>
  </si>
  <si>
    <t>GameLink LLC</t>
  </si>
  <si>
    <t>Fashion Accessories First Inc</t>
  </si>
  <si>
    <t>Catherine Stein Design</t>
  </si>
  <si>
    <t>Joshua Partners LLC</t>
  </si>
  <si>
    <t>Medicia Holdings LLC</t>
  </si>
  <si>
    <t>Collier Lincoln Mercury store</t>
  </si>
  <si>
    <t>Planar Systems Inc</t>
  </si>
  <si>
    <t>Coolsign digital signage business</t>
  </si>
  <si>
    <t>Camelot Park,Fiddlesticks Family Fun Park,Funtasticks Family Fun Park,Mountasia Family Fun...</t>
  </si>
  <si>
    <t>Sonic Solutions LLC</t>
  </si>
  <si>
    <t>Multi Channel Solutions Ltd</t>
  </si>
  <si>
    <t>Bay Street Brands LLC</t>
  </si>
  <si>
    <t>Greenmaker</t>
  </si>
  <si>
    <t>Green Depot</t>
  </si>
  <si>
    <t>Pearson Ford Co</t>
  </si>
  <si>
    <t>Kearny Mesa Ford</t>
  </si>
  <si>
    <t>Pacific Sunwear of California Inc</t>
  </si>
  <si>
    <t>Anaheim Distribution Center</t>
  </si>
  <si>
    <t>Zalemark Holding Co Inc</t>
  </si>
  <si>
    <t>Zalemark Inc</t>
  </si>
  <si>
    <t>FGX International Holdings Ltd</t>
  </si>
  <si>
    <t>Dioptics Medical Products Inc</t>
  </si>
  <si>
    <t>National Amusements Inc,Private Investor,Ocmus Inc</t>
  </si>
  <si>
    <t>Midway Games Inc</t>
  </si>
  <si>
    <t>OneShare.com</t>
  </si>
  <si>
    <t>Singleshare.com</t>
  </si>
  <si>
    <t>Triple Peaks LLC</t>
  </si>
  <si>
    <t>Okemo/VT,Crested Butte/CO,Mount Sunapee/NH</t>
  </si>
  <si>
    <t>Interstate Auto Group Inc</t>
  </si>
  <si>
    <t>Automotive Operations</t>
  </si>
  <si>
    <t>14 retail stores</t>
  </si>
  <si>
    <t>Minnesota Aquarium LLC/The</t>
  </si>
  <si>
    <t>Underwater Adventures Aquarium</t>
  </si>
  <si>
    <t>Kohl's Corp,Forever 21 Inc</t>
  </si>
  <si>
    <t>46 Mervyn's locations</t>
  </si>
  <si>
    <t>Greater Wenatchee Regional Events Center Public Facilities Dist</t>
  </si>
  <si>
    <t>Town Toyota Center/Wenatchee</t>
  </si>
  <si>
    <t>Brownell &amp; Co Inc</t>
  </si>
  <si>
    <t>Vestiage Inc</t>
  </si>
  <si>
    <t>55 Pizza Hut units</t>
  </si>
  <si>
    <t>42 Pizza Hut units</t>
  </si>
  <si>
    <t>Luciano Group</t>
  </si>
  <si>
    <t>Village Enterprises LLC</t>
  </si>
  <si>
    <t>6 Luciano Brickoven Pizzeria locations</t>
  </si>
  <si>
    <t>Heathrow Enterprises LLC/Old</t>
  </si>
  <si>
    <t>Peacock International Holdings LLC</t>
  </si>
  <si>
    <t>Bill Blass licensing business</t>
  </si>
  <si>
    <t>American Greetings Corp</t>
  </si>
  <si>
    <t>Relativity Media LLC</t>
  </si>
  <si>
    <t>Rogue Pictures</t>
  </si>
  <si>
    <t>TV Guide Network Property</t>
  </si>
  <si>
    <t>Digital Interactive Systems Corp</t>
  </si>
  <si>
    <t>Compuexpert</t>
  </si>
  <si>
    <t>Propane Direct Enterprises LLC</t>
  </si>
  <si>
    <t>Propane distribution business</t>
  </si>
  <si>
    <t>Quadrant Management Inc</t>
  </si>
  <si>
    <t>Genius Products LLC</t>
  </si>
  <si>
    <t>Comedynet.TV Inc</t>
  </si>
  <si>
    <t>Home Interiors &amp; Gifts Inc,Home Interiors de Puerto Rico Inc</t>
  </si>
  <si>
    <t>Celebrating Home</t>
  </si>
  <si>
    <t>DDR Corp,EDT Retail Trust</t>
  </si>
  <si>
    <t>Northridge Plaza,College Grove Shopping Center,Nellis Crossing,Pear Tree Center,Grand Cany...</t>
  </si>
  <si>
    <t>Maesa SA</t>
  </si>
  <si>
    <t>Zorbit Resources LLC</t>
  </si>
  <si>
    <t>Freedom2 Holdings Inc</t>
  </si>
  <si>
    <t>Grubb &amp; Ellis Co</t>
  </si>
  <si>
    <t>HTA - Marietta Health Park LLC</t>
  </si>
  <si>
    <t>Outdoor Channel Holdings Inc</t>
  </si>
  <si>
    <t>Winnercomm Inc</t>
  </si>
  <si>
    <t>Placontrol Inc</t>
  </si>
  <si>
    <t>Atlantic Talent Agency</t>
  </si>
  <si>
    <t>MixMatchMusic Ltd</t>
  </si>
  <si>
    <t>Mix2r Media Inc</t>
  </si>
  <si>
    <t>TD Retail Card Services</t>
  </si>
  <si>
    <t>Private label credit card program</t>
  </si>
  <si>
    <t>Fuji Media Holdings Inc</t>
  </si>
  <si>
    <t>Six Palms Music Corp,Third Story Music</t>
  </si>
  <si>
    <t>51 Pizza Hut units</t>
  </si>
  <si>
    <t>Wireless HOLDRs Trust</t>
  </si>
  <si>
    <t>a21 Inc</t>
  </si>
  <si>
    <t>Assets of ArtSelect Inc</t>
  </si>
  <si>
    <t>Home Meridian International Inc</t>
  </si>
  <si>
    <t>Sportsclick Inc</t>
  </si>
  <si>
    <t>Southprint Inc</t>
  </si>
  <si>
    <t>2 Bingo halls</t>
  </si>
  <si>
    <t>USSE Corp</t>
  </si>
  <si>
    <t>Union Square Sports and Entertainment Inc</t>
  </si>
  <si>
    <t>Best Buy Co Inc,Allegis Capital,Bridgescale Partners,Menlo Ventures (Fund: Menlo Ventures ...</t>
  </si>
  <si>
    <t>IMVU Inc</t>
  </si>
  <si>
    <t>TRT Holdings Inc</t>
  </si>
  <si>
    <t>Bob's Steak &amp; Chop House</t>
  </si>
  <si>
    <t>Two distribution centers</t>
  </si>
  <si>
    <t>Puronyx Inc</t>
  </si>
  <si>
    <t>Pigeon Corp</t>
  </si>
  <si>
    <t>Soothies Gel Pads Sales Rights</t>
  </si>
  <si>
    <t>Vision Care Holdings LLC</t>
  </si>
  <si>
    <t>Eyeglass World Inc</t>
  </si>
  <si>
    <t>Entervision Inc</t>
  </si>
  <si>
    <t>Betfair Group PLC</t>
  </si>
  <si>
    <t>TV Games Network</t>
  </si>
  <si>
    <t>Rock Creek Energy LLC</t>
  </si>
  <si>
    <t>MacGregor Golf Co</t>
  </si>
  <si>
    <t>Tharanco Group/The</t>
  </si>
  <si>
    <t>Greg Norman Collection</t>
  </si>
  <si>
    <t>San Diego Padres</t>
  </si>
  <si>
    <t>JEM Restaurant Group Inc</t>
  </si>
  <si>
    <t>40 Pizza Hut units</t>
  </si>
  <si>
    <t>Talon Merchant Capital</t>
  </si>
  <si>
    <t>Comcast Corp</t>
  </si>
  <si>
    <t>Brooks Group</t>
  </si>
  <si>
    <t>Philadelphia Minor League Hockey Inc</t>
  </si>
  <si>
    <t>US wholesale business</t>
  </si>
  <si>
    <t>12 locations</t>
  </si>
  <si>
    <t>Explosion Entertainment LLC</t>
  </si>
  <si>
    <t>Gordon Brothers Group LLC,Hilco Organization/The</t>
  </si>
  <si>
    <t>Oil well</t>
  </si>
  <si>
    <t>Parent Co/The</t>
  </si>
  <si>
    <t>ePregnancy.com,eToys.com,BabyUniverse.com</t>
  </si>
  <si>
    <t>HRP Myrtle Beach Holdings LLC</t>
  </si>
  <si>
    <t>FPI MB Entertainment LLC</t>
  </si>
  <si>
    <t>Hard Rock Park</t>
  </si>
  <si>
    <t>Electronic Arts Inc</t>
  </si>
  <si>
    <t>Toy Island</t>
  </si>
  <si>
    <t>Trump Entertainment Resorts Inc</t>
  </si>
  <si>
    <t>Lowes Island Club</t>
  </si>
  <si>
    <t>Denny Hecker Automotive Group</t>
  </si>
  <si>
    <t>Twin Cities Automotive LLC</t>
  </si>
  <si>
    <t>Inver Grove Heights Volkswagen and Hyundai dealerships</t>
  </si>
  <si>
    <t>Sourcing operations</t>
  </si>
  <si>
    <t>Barnes &amp; Noble Inc,Management Group</t>
  </si>
  <si>
    <t>Calendar Club LLC</t>
  </si>
  <si>
    <t>TGS Petroleum Inc</t>
  </si>
  <si>
    <t>ITT Corp</t>
  </si>
  <si>
    <t>Balboa Instruments Inc,G-G Distribution &amp; Development Co Inc</t>
  </si>
  <si>
    <t>HydroAir business</t>
  </si>
  <si>
    <t>Circuit City Stores Inc</t>
  </si>
  <si>
    <t>BCE Inc</t>
  </si>
  <si>
    <t>InterTAN Canada Ltd</t>
  </si>
  <si>
    <t>Noritsu Koki Co Ltd</t>
  </si>
  <si>
    <t>Infusium 23 hair care business</t>
  </si>
  <si>
    <t>Beta Music Group Inc</t>
  </si>
  <si>
    <t>Fictionwise</t>
  </si>
  <si>
    <t>MJ Acquisitions LLC</t>
  </si>
  <si>
    <t>Saleen Inc</t>
  </si>
  <si>
    <t>Sewell Houston Co LLC</t>
  </si>
  <si>
    <t>North Houston Infiniti</t>
  </si>
  <si>
    <t>Crazy Moose Casino/The,Coyote Bob's Roadhouse Casino,Crazy Moose Casino</t>
  </si>
  <si>
    <t>Fight Zone Inc/The</t>
  </si>
  <si>
    <t>Gold Recycle Corp</t>
  </si>
  <si>
    <t>Unnamed Buyer,Allegis Capital,Catamount Ventures</t>
  </si>
  <si>
    <t>Millennium Gaming Inc,Oaktree Capital Group LLC (Fund: OCM Principal Opportunities Fund IV...</t>
  </si>
  <si>
    <t>Crown Resorts Ltd</t>
  </si>
  <si>
    <t>BRG Property LLC</t>
  </si>
  <si>
    <t>NE Restaurant Corp</t>
  </si>
  <si>
    <t>C&amp;T Restaurant Management LLC</t>
  </si>
  <si>
    <t>Vinny T's</t>
  </si>
  <si>
    <t>1800mattress.com</t>
  </si>
  <si>
    <t>Sleepy's LLC</t>
  </si>
  <si>
    <t>Colibri Group/The</t>
  </si>
  <si>
    <t>Alliance Time</t>
  </si>
  <si>
    <t>Colibri Seth Thomas and Linden Clocks brands</t>
  </si>
  <si>
    <t>Almell Products Ltd</t>
  </si>
  <si>
    <t>Poshe USA LLC</t>
  </si>
  <si>
    <t>Corporate Assets</t>
  </si>
  <si>
    <t>Webster Capital,Fireman Capital Partners</t>
  </si>
  <si>
    <t>Hudson Clothing LLC</t>
  </si>
  <si>
    <t>CPI Plastics Group Ltd</t>
  </si>
  <si>
    <t>Mid-America Bag LLC</t>
  </si>
  <si>
    <t>Film division</t>
  </si>
  <si>
    <t>Bidz.com Inc</t>
  </si>
  <si>
    <t>Kedem Pharmaceuticals Inc</t>
  </si>
  <si>
    <t>Posh Cosmeceuticals Inc</t>
  </si>
  <si>
    <t>Hybrid Kinetic Group Ltd</t>
  </si>
  <si>
    <t>Alabama Center for Foreign Investment LLC</t>
  </si>
  <si>
    <t>Urban Decay Cosmetics LLC</t>
  </si>
  <si>
    <t>VICORP Restaurants Inc</t>
  </si>
  <si>
    <t>Fidelity National Financial Inc,Newport Global Advisors LP</t>
  </si>
  <si>
    <t>Fluid Routing Solutions Automotive LLC</t>
  </si>
  <si>
    <t>Fuel Systems And Hose Extrusion 0perations</t>
  </si>
  <si>
    <t>RPSI Holdings LLC</t>
  </si>
  <si>
    <t>Royal Pet Supplies Inc</t>
  </si>
  <si>
    <t>St Cloud Capital LLC,Rustic Canyon/Fontis Partners</t>
  </si>
  <si>
    <t>Johnson Products Co Inc</t>
  </si>
  <si>
    <t>Flowers Foods Inc</t>
  </si>
  <si>
    <t>SunTrust Banks Inc</t>
  </si>
  <si>
    <t>13 bakery facilities</t>
  </si>
  <si>
    <t>Universal Entertainment Corp</t>
  </si>
  <si>
    <t>Aruze Gaming America Inc</t>
  </si>
  <si>
    <t>Johnson Ventures</t>
  </si>
  <si>
    <t>Takkt AG</t>
  </si>
  <si>
    <t>Central Products LLC</t>
  </si>
  <si>
    <t>Reunion Sports Group LLC</t>
  </si>
  <si>
    <t>United Sports Equities LLC</t>
  </si>
  <si>
    <t>Spirit Music Group Inc</t>
  </si>
  <si>
    <t>Paramount Auto Group</t>
  </si>
  <si>
    <t>Sewell Automotive Cos</t>
  </si>
  <si>
    <t>Infiniti of North Houston</t>
  </si>
  <si>
    <t>Moving Images NY LLC</t>
  </si>
  <si>
    <t>Uniquest Corp,Braemar Energy Ventures</t>
  </si>
  <si>
    <t>CAI Private Equity LLC</t>
  </si>
  <si>
    <t>Country Style Food Services Holdings Inc</t>
  </si>
  <si>
    <t>Herndon Oil Corp</t>
  </si>
  <si>
    <t>38 Convenience stores</t>
  </si>
  <si>
    <t>Gas station/convenience store</t>
  </si>
  <si>
    <t>Alabama Welding Supply,Fowler Brothers,Service Gas Supply Inc</t>
  </si>
  <si>
    <t>Hyundai franchise</t>
  </si>
  <si>
    <t>World Ford of Kendall dealership</t>
  </si>
  <si>
    <t>Buxbaum Group</t>
  </si>
  <si>
    <t>FBC Distribution Corp</t>
  </si>
  <si>
    <t>Stichting Pensioenfonds ABP,CP Masters BV</t>
  </si>
  <si>
    <t>Rodgers &amp; Hammerstein Organization/The,Rights to songs &amp; musicals of Rodgers &amp; Hammerstein</t>
  </si>
  <si>
    <t>Phase 4 Films Inc</t>
  </si>
  <si>
    <t>Peace Arch Home Entertainment LLC,Home Entertainment Operations</t>
  </si>
  <si>
    <t>Beringea LLC</t>
  </si>
  <si>
    <t>Helix Hearing Inc</t>
  </si>
  <si>
    <t>Helix Hearing Care Of America</t>
  </si>
  <si>
    <t>Exxon Mobil Corp</t>
  </si>
  <si>
    <t>450 On the Run convenience stores,43 Co owned &amp; operated sites</t>
  </si>
  <si>
    <t>Meritage Hospitality Group Inc</t>
  </si>
  <si>
    <t>20 Wendy's Restaurants/Jacksonville FL</t>
  </si>
  <si>
    <t>MF Corporate Holdings Inc</t>
  </si>
  <si>
    <t>Abazias Inc</t>
  </si>
  <si>
    <t>Urbanspoon</t>
  </si>
  <si>
    <t>Marmalade Holdings Inc</t>
  </si>
  <si>
    <t>Lambertson Truex LLC</t>
  </si>
  <si>
    <t>Screenphone.net Inc</t>
  </si>
  <si>
    <t>Ascent Media Group LLC</t>
  </si>
  <si>
    <t>Discovery Kids Network</t>
  </si>
  <si>
    <t>Crown Acquisitions,Chetrit Group/The</t>
  </si>
  <si>
    <t>17 Filene's Basement stores</t>
  </si>
  <si>
    <t>Strathmore Investments Inc</t>
  </si>
  <si>
    <t>Air Products &amp; Chemicals Inc</t>
  </si>
  <si>
    <t>Aphrodite Cosmetic Holdings Inc</t>
  </si>
  <si>
    <t>Robbins Bros Corp</t>
  </si>
  <si>
    <t>Robbins Bros Jewelry Inc</t>
  </si>
  <si>
    <t>Fusion Brands Inc,Fusion Brands International</t>
  </si>
  <si>
    <t>31 Drug Fair stores</t>
  </si>
  <si>
    <t>Boston Pharma Holding Corp</t>
  </si>
  <si>
    <t>SARS Corp</t>
  </si>
  <si>
    <t>Kern Automotive Group Inc</t>
  </si>
  <si>
    <t>Challice Ltd</t>
  </si>
  <si>
    <t>Mulberry Group PLC</t>
  </si>
  <si>
    <t>Mulberry USA LLC</t>
  </si>
  <si>
    <t>Propane operations/KS</t>
  </si>
  <si>
    <t>Inventories leases and related assets to two shops</t>
  </si>
  <si>
    <t>Redquartz Developments Ltd</t>
  </si>
  <si>
    <t>Fado Pubs Inc</t>
  </si>
  <si>
    <t>Zumiez Inc</t>
  </si>
  <si>
    <t>Active Wallace Group/The</t>
  </si>
  <si>
    <t>Golfsmith International Holdings Inc</t>
  </si>
  <si>
    <t>Orco Construction Supply Inc</t>
  </si>
  <si>
    <t>Cavaliers Operating Co LLC</t>
  </si>
  <si>
    <t>Anchor Blue Retail Group Inc</t>
  </si>
  <si>
    <t>Levi Strauss &amp; Co</t>
  </si>
  <si>
    <t>One Equity Partners LLC</t>
  </si>
  <si>
    <t>USAA Real Estate Co</t>
  </si>
  <si>
    <t>Bulk distribution facility</t>
  </si>
  <si>
    <t>FAO Schwarz</t>
  </si>
  <si>
    <t>Harman Consumer Group Inc</t>
  </si>
  <si>
    <t>Lexicon-Harman GOM Inc</t>
  </si>
  <si>
    <t>Marc Ecko Enterprises</t>
  </si>
  <si>
    <t>Timex Group India Ltd</t>
  </si>
  <si>
    <t>Marc Ecko Watch Trademark</t>
  </si>
  <si>
    <t>Jane &amp; Co LLC</t>
  </si>
  <si>
    <t>Reborn Beauty LLC</t>
  </si>
  <si>
    <t>Mistral Equity Partners</t>
  </si>
  <si>
    <t>12 Leased Locations</t>
  </si>
  <si>
    <t>CrossHarbor Capital Partners LLC</t>
  </si>
  <si>
    <t>Yellowstone Mountain Club LLC</t>
  </si>
  <si>
    <t>Hon Hai Precision Industry Co Ltd</t>
  </si>
  <si>
    <t>Foxteq Holdings Inc</t>
  </si>
  <si>
    <t>Art of Shaving/The</t>
  </si>
  <si>
    <t>Against All Odds USA Inc</t>
  </si>
  <si>
    <t>New Deal LLC</t>
  </si>
  <si>
    <t>Kemin Industries Inc</t>
  </si>
  <si>
    <t>Amalyte Pharmaceuticals LLC</t>
  </si>
  <si>
    <t>Perseus LLC</t>
  </si>
  <si>
    <t>Established Brands Inc</t>
  </si>
  <si>
    <t>Talbots Inc/The</t>
  </si>
  <si>
    <t>J Jill brand assets</t>
  </si>
  <si>
    <t>Sunoco Inc</t>
  </si>
  <si>
    <t>Stewart's Shops Corp</t>
  </si>
  <si>
    <t>A-Plus mini mart on Broadway</t>
  </si>
  <si>
    <t>AudioEye Inc</t>
  </si>
  <si>
    <t>CMG Holdings Group Inc</t>
  </si>
  <si>
    <t>Fairchild Corp/The</t>
  </si>
  <si>
    <t>Greenwich Aerogroup Inc</t>
  </si>
  <si>
    <t>Banner Aerospace Inc</t>
  </si>
  <si>
    <t>Dynamic Roofing &amp; Siding Supply</t>
  </si>
  <si>
    <t>TheaterXtreme</t>
  </si>
  <si>
    <t>JC International Inc</t>
  </si>
  <si>
    <t>Hoover &amp; Strong Inc</t>
  </si>
  <si>
    <t>Keystone Findings Inc</t>
  </si>
  <si>
    <t>GRL Capital Advisors LLC</t>
  </si>
  <si>
    <t>Syms Corp,Vornado Realty Trust</t>
  </si>
  <si>
    <t>AutoChina International Ltd</t>
  </si>
  <si>
    <t>Xingiang Guanghui Industry Investment Group Co</t>
  </si>
  <si>
    <t>Consumer auto dealership business</t>
  </si>
  <si>
    <t>Zirh skincare brand</t>
  </si>
  <si>
    <t>City Capital Corp</t>
  </si>
  <si>
    <t>LA Juice Co</t>
  </si>
  <si>
    <t>Friedman Fleischer &amp; Lowe LLC</t>
  </si>
  <si>
    <t>Polaris Venture Partners</t>
  </si>
  <si>
    <t>Living Proof Inc</t>
  </si>
  <si>
    <t>Quick Stuff convenience stores</t>
  </si>
  <si>
    <t>Molson Coors Brewing Co</t>
  </si>
  <si>
    <t>Bell Centre/The,Gillett Entertainment Group</t>
  </si>
  <si>
    <t>Man Alive Acquisition LLC</t>
  </si>
  <si>
    <t>Man Alive business</t>
  </si>
  <si>
    <t>Columbia Properties New Orleans LLC</t>
  </si>
  <si>
    <t>Peninsula Gaming LLC</t>
  </si>
  <si>
    <t>Belle of Orleans LLC</t>
  </si>
  <si>
    <t>BC Partners Holdings Ltd</t>
  </si>
  <si>
    <t>Webster's Team Sports</t>
  </si>
  <si>
    <t>TWS Partnership LLC</t>
  </si>
  <si>
    <t>Successories.com LLC</t>
  </si>
  <si>
    <t>Tween Brands Inc</t>
  </si>
  <si>
    <t>Two pawnshops/TX</t>
  </si>
  <si>
    <t>Meritor Inc</t>
  </si>
  <si>
    <t>OpenGate Capital LLC</t>
  </si>
  <si>
    <t>Gabriel NA</t>
  </si>
  <si>
    <t>Gus Doerner Sports Inc</t>
  </si>
  <si>
    <t>Team Sports Division</t>
  </si>
  <si>
    <t>Private Investor,Sports Capital Partners</t>
  </si>
  <si>
    <t>St Louis Blues Hockey Club LP,Savvis Center</t>
  </si>
  <si>
    <t>Cheshire Holding Corp</t>
  </si>
  <si>
    <t>Sashay Corporate Services LLC</t>
  </si>
  <si>
    <t>Automated Mail Service</t>
  </si>
  <si>
    <t>South Florida Media Group LLC</t>
  </si>
  <si>
    <t>SFM Acquisition LLC</t>
  </si>
  <si>
    <t>Dine In Delivery</t>
  </si>
  <si>
    <t>Banyan Mezzanine Fund LP</t>
  </si>
  <si>
    <t>Baskins Acquisition Holdings LLC</t>
  </si>
  <si>
    <t>Geolo Capital</t>
  </si>
  <si>
    <t>Carmel Valley Ranch Resort</t>
  </si>
  <si>
    <t>Pet Valu Canada Inc</t>
  </si>
  <si>
    <t>Johnson &amp; Quin Inc</t>
  </si>
  <si>
    <t>InteliMail</t>
  </si>
  <si>
    <t>Best Buy Co Inc,Mercato Partners,University Venture Fund</t>
  </si>
  <si>
    <t>Control4 Corp</t>
  </si>
  <si>
    <t>SBI Holdings Inc/Japan,Syncom Venture Partners,Mille Plateaux</t>
  </si>
  <si>
    <t>Outspark Inc</t>
  </si>
  <si>
    <t>Klein-Becker</t>
  </si>
  <si>
    <t>Catterton Partners (Fund: Catterton Partners VI LP),Highland Capital Partners (Fund: Highl...</t>
  </si>
  <si>
    <t>Strivectin Operating Co Inc</t>
  </si>
  <si>
    <t>Diamlink Inc</t>
  </si>
  <si>
    <t>FJ Management Inc</t>
  </si>
  <si>
    <t>Core travel plaza business</t>
  </si>
  <si>
    <t>Beneficial Holdings Inc</t>
  </si>
  <si>
    <t>Crush Films</t>
  </si>
  <si>
    <t>Emmett Furla Films Productions Corp</t>
  </si>
  <si>
    <t>Eddie Bauer Holdings Inc</t>
  </si>
  <si>
    <t>Glenhill Advisors LLC</t>
  </si>
  <si>
    <t>Design Within Reach Inc</t>
  </si>
  <si>
    <t>Mioomy AG</t>
  </si>
  <si>
    <t>Crania Co LLC</t>
  </si>
  <si>
    <t>Rennoc Corp</t>
  </si>
  <si>
    <t>Visant Holding Corp</t>
  </si>
  <si>
    <t>Team outerwear business</t>
  </si>
  <si>
    <t>Bertelsmann SE &amp; Co KGaA,KKR &amp; Co LP</t>
  </si>
  <si>
    <t>Crosstown Songs America Inc</t>
  </si>
  <si>
    <t>Ritz Camera Centers Inc</t>
  </si>
  <si>
    <t>RCI Acquisition Corp</t>
  </si>
  <si>
    <t>Tengelmann Warenhandelsgesellschaft KG,Yucaipa Cos LLC/The (Fund: Yucaipa American Allianc...</t>
  </si>
  <si>
    <t>propane operations/South-Central US</t>
  </si>
  <si>
    <t>Raptor Pharmaceutical Corp</t>
  </si>
  <si>
    <t>Intel Corp,Xilinx Inc,InterWest Partners LLC,Braemar Energy Ventures,CenterPoint Ventures,...</t>
  </si>
  <si>
    <t>Convey Computer Corp</t>
  </si>
  <si>
    <t>Nutraceutical International Corp</t>
  </si>
  <si>
    <t>Har-Bell Athletic Goods</t>
  </si>
  <si>
    <t>Pacific Vector Holdings Inc</t>
  </si>
  <si>
    <t>No Fear Retail Stores Inc</t>
  </si>
  <si>
    <t>Ecologic Transportation Inc</t>
  </si>
  <si>
    <t>Ecologic Sciences Inc</t>
  </si>
  <si>
    <t>25 Convenience Stores</t>
  </si>
  <si>
    <t>Technomedia Solutions LLC</t>
  </si>
  <si>
    <t>VRT Enterprises Inc</t>
  </si>
  <si>
    <t>RKA Petroleum LLC</t>
  </si>
  <si>
    <t>Sunoco Logistics Partners LP</t>
  </si>
  <si>
    <t>Refined products terminal</t>
  </si>
  <si>
    <t>Warren Equities Inc</t>
  </si>
  <si>
    <t>Global Partners LP/MA</t>
  </si>
  <si>
    <t>Three terminal facilities</t>
  </si>
  <si>
    <t>Specialty Products &amp; Insulation Co</t>
  </si>
  <si>
    <t>Barnes &amp; Noble College Booksellers Inc</t>
  </si>
  <si>
    <t>Procter &amp; Gamble Co/The,ProScan Imaging</t>
  </si>
  <si>
    <t>AnimalScan LLC</t>
  </si>
  <si>
    <t>Iams Pet Imaging LLC</t>
  </si>
  <si>
    <t>Garland Resort</t>
  </si>
  <si>
    <t>New Frontiers Capital LLC</t>
  </si>
  <si>
    <t>General Atlantic LLC,Matrix Partners (Fund: Matrix Partners IX LP)</t>
  </si>
  <si>
    <t>Gilt Groupe Inc</t>
  </si>
  <si>
    <t>Eight liquor stores</t>
  </si>
  <si>
    <t>Private Label Credit Card Program</t>
  </si>
  <si>
    <t>Bel-Air Group/The</t>
  </si>
  <si>
    <t>Diversified Restaurant Holdings Inc</t>
  </si>
  <si>
    <t>9 Buffalo Wild Wings Restaurants</t>
  </si>
  <si>
    <t>Recreation Live LLC</t>
  </si>
  <si>
    <t>Country Coach LLC</t>
  </si>
  <si>
    <t>Crosslands Energy Corp</t>
  </si>
  <si>
    <t>Crosslands Utilities Services Inc</t>
  </si>
  <si>
    <t>Speidel Co</t>
  </si>
  <si>
    <t>Cerce Capital LLC</t>
  </si>
  <si>
    <t>Agora Games</t>
  </si>
  <si>
    <t>Revel Entertainment Inc</t>
  </si>
  <si>
    <t>Tribune Co/Old</t>
  </si>
  <si>
    <t>Comcast SportsNet,Chicago Cubs National League Baseball Club,Wrigley Field</t>
  </si>
  <si>
    <t>MGP Ingredients Inc</t>
  </si>
  <si>
    <t>Warner Chilcott PLC</t>
  </si>
  <si>
    <t>Global Branded Prescription Pharmaceutical Business</t>
  </si>
  <si>
    <t>Geneve Corp</t>
  </si>
  <si>
    <t>Bwin.Party Digital Entertainment PLC</t>
  </si>
  <si>
    <t>US rights to 44 Inch Chest</t>
  </si>
  <si>
    <t>Emissary Capital Group LLC</t>
  </si>
  <si>
    <t>Kien Huat Realty III Ltd</t>
  </si>
  <si>
    <t>Mix1</t>
  </si>
  <si>
    <t>iModel &amp; Talent</t>
  </si>
  <si>
    <t>Sanraa Media Ltd</t>
  </si>
  <si>
    <t>WSG Pictures</t>
  </si>
  <si>
    <t>Sunoco Retail Heat</t>
  </si>
  <si>
    <t>LEO Pharma A/S</t>
  </si>
  <si>
    <t>Peplin Inc</t>
  </si>
  <si>
    <t>Aero Financial Inc</t>
  </si>
  <si>
    <t>Papa Bello Enterprises Inc</t>
  </si>
  <si>
    <t>Incentone Inc</t>
  </si>
  <si>
    <t>Augeo Affinity Marketing Inc</t>
  </si>
  <si>
    <t>Performance and Loyalty Solutions business</t>
  </si>
  <si>
    <t>Axion Holding LLC</t>
  </si>
  <si>
    <t>Gordon Brothers Group LLC,JF Trust</t>
  </si>
  <si>
    <t>Jake Dog LLC</t>
  </si>
  <si>
    <t>Salty DogTM apparel brand</t>
  </si>
  <si>
    <t>Kansas Entertainment LLC</t>
  </si>
  <si>
    <t>Growth Concepts</t>
  </si>
  <si>
    <t>Canyons Burger</t>
  </si>
  <si>
    <t>Caesars Entertainment Corp</t>
  </si>
  <si>
    <t>Thistledown Race Track/Ohio</t>
  </si>
  <si>
    <t>Global Gaming LSP LLC</t>
  </si>
  <si>
    <t>Lone Star Park</t>
  </si>
  <si>
    <t>XNE Inc</t>
  </si>
  <si>
    <t>Triple Play Group LLC/The</t>
  </si>
  <si>
    <t>Suncast Corp</t>
  </si>
  <si>
    <t>HomePlace Structures</t>
  </si>
  <si>
    <t>DHW Leasing LLC</t>
  </si>
  <si>
    <t>Granite City Food &amp; Brewery Ltd</t>
  </si>
  <si>
    <t>Pepsi Bottling Group Inc/The,Catterton Partners (Fund: Catterton Growth Partners LP)</t>
  </si>
  <si>
    <t>One World Enterprises LLC</t>
  </si>
  <si>
    <t>Onexim Group</t>
  </si>
  <si>
    <t>Brooklyn Nets</t>
  </si>
  <si>
    <t>BigStockPhoto</t>
  </si>
  <si>
    <t>Zilog Inc</t>
  </si>
  <si>
    <t>Universal Electronics Inc</t>
  </si>
  <si>
    <t>Remote Control Software and other Intellectual Property</t>
  </si>
  <si>
    <t>Vanson LLC</t>
  </si>
  <si>
    <t>Radnor Capital Corp</t>
  </si>
  <si>
    <t>LUJC International LLC</t>
  </si>
  <si>
    <t>Randall International LLC</t>
  </si>
  <si>
    <t>Millie's Restaurants Inc</t>
  </si>
  <si>
    <t>Custom Restaurant &amp; Hospitality Group Inc/The</t>
  </si>
  <si>
    <t>10 Restaurant Locations</t>
  </si>
  <si>
    <t>Golden Baseball League/The</t>
  </si>
  <si>
    <t>Arc Music Group</t>
  </si>
  <si>
    <t>Tikatok Inc</t>
  </si>
  <si>
    <t>Cabaret North Inc</t>
  </si>
  <si>
    <t>Sweet Spot Cafe Inc</t>
  </si>
  <si>
    <t>Pangea Networks Inc</t>
  </si>
  <si>
    <t>Drive-Thru locations</t>
  </si>
  <si>
    <t>UOMO Media Inc</t>
  </si>
  <si>
    <t>Get Tickets E-Solutions Inc</t>
  </si>
  <si>
    <t>Cross Creek Investments LLC</t>
  </si>
  <si>
    <t>Burning Palms Productions LLC</t>
  </si>
  <si>
    <t>RAIN Source Capital Inc,Brokerbank Securities Inc,Twin Cities Angels</t>
  </si>
  <si>
    <t>ReconRobotics Inc</t>
  </si>
  <si>
    <t>Holston Gases Inc</t>
  </si>
  <si>
    <t>Waffle House Inc</t>
  </si>
  <si>
    <t>Southeast Waffles LLC</t>
  </si>
  <si>
    <t>Rodin</t>
  </si>
  <si>
    <t>Mobile audio division</t>
  </si>
  <si>
    <t>Schoeneman Beauty Supply Inc</t>
  </si>
  <si>
    <t>Corum Sarl</t>
  </si>
  <si>
    <t>Corum USA LLC</t>
  </si>
  <si>
    <t>Total Credit and Collections Inc</t>
  </si>
  <si>
    <t>Long Tall Sally Ltd</t>
  </si>
  <si>
    <t>Tall Girl Shop Ltd</t>
  </si>
  <si>
    <t>Discrete Drums</t>
  </si>
  <si>
    <t>Sonoma Wire Works</t>
  </si>
  <si>
    <t>Brand and recording libraries product line</t>
  </si>
  <si>
    <t>MMC Energy Inc</t>
  </si>
  <si>
    <t>Pro Energy</t>
  </si>
  <si>
    <t>Two GE LM6000 PC Sprint turbines</t>
  </si>
  <si>
    <t>Anheuser-Busch InBev NV</t>
  </si>
  <si>
    <t>SeaWorld Parks &amp; Entertainment Inc</t>
  </si>
  <si>
    <t>Kebab Cafe</t>
  </si>
  <si>
    <t>Unilava Corp</t>
  </si>
  <si>
    <t>Somerset Transition Corp</t>
  </si>
  <si>
    <t>Submersible Music Inc</t>
  </si>
  <si>
    <t>Entire product line</t>
  </si>
  <si>
    <t>CIVC Partners LP,Carmel Ventures,Shenzhen Venture Capital,Mover Enterpriser</t>
  </si>
  <si>
    <t>C2 Microsystems Inc</t>
  </si>
  <si>
    <t>CalEast Industrial Investors LLC</t>
  </si>
  <si>
    <t>Distribution Center/St Charles</t>
  </si>
  <si>
    <t>Florida Tire Inc</t>
  </si>
  <si>
    <t>aSmallWorld.net</t>
  </si>
  <si>
    <t>Seven Arts Entertainment Inc</t>
  </si>
  <si>
    <t>Sizzling Platter LLC</t>
  </si>
  <si>
    <t>Pizza Pizza Co Ltd</t>
  </si>
  <si>
    <t>Perseus Books Group</t>
  </si>
  <si>
    <t>Maxwell Chrysler-Jeep-Dodge dealerships/TX</t>
  </si>
  <si>
    <t>Channel M Inc</t>
  </si>
  <si>
    <t>Pastore's of Rosedale Inc</t>
  </si>
  <si>
    <t>RestorGenex Corp</t>
  </si>
  <si>
    <t>Handmade PLC</t>
  </si>
  <si>
    <t>National Geographic Society</t>
  </si>
  <si>
    <t>Animation Collective Holdings Corp</t>
  </si>
  <si>
    <t>12 Eaton Apothecary pharmacies</t>
  </si>
  <si>
    <t>National Hockey League Inc</t>
  </si>
  <si>
    <t>Valley Honda,Valley Acura</t>
  </si>
  <si>
    <t>Ecko Portfolio of Brands</t>
  </si>
  <si>
    <t>Corinne McCormack Inc</t>
  </si>
  <si>
    <t>Petroleum Marketing Group Inc</t>
  </si>
  <si>
    <t>52 Shell sites</t>
  </si>
  <si>
    <t>Digital Brand Media &amp; Marketing Group Inc</t>
  </si>
  <si>
    <t>BMC</t>
  </si>
  <si>
    <t>Verne Q Powell Flutes Inc</t>
  </si>
  <si>
    <t>EK Blessing</t>
  </si>
  <si>
    <t>Abu Dhabi Media Co</t>
  </si>
  <si>
    <t>Parkes/MacDonald Productions</t>
  </si>
  <si>
    <t>Fuel Managers Inc</t>
  </si>
  <si>
    <t>Truman Arnold Cos</t>
  </si>
  <si>
    <t>Wholesale fuels business</t>
  </si>
  <si>
    <t>Sports Fan-Attic Inc</t>
  </si>
  <si>
    <t>Zoom Inc</t>
  </si>
  <si>
    <t>CH Energy Group Inc</t>
  </si>
  <si>
    <t>3 Bingo Halls</t>
  </si>
  <si>
    <t>RDE Acquisition Co LLC</t>
  </si>
  <si>
    <t>Wild Wings LLC</t>
  </si>
  <si>
    <t>Samick Musical Instruments Co Ltd</t>
  </si>
  <si>
    <t>Glimcher Realty Trust,Blackstone Group LP (Fund: Blackstone Real Estate Partners VI LP)</t>
  </si>
  <si>
    <t>WestShore Plaza,Lloyd Center</t>
  </si>
  <si>
    <t>Exclusive Media Group</t>
  </si>
  <si>
    <t>Newmarket Films</t>
  </si>
  <si>
    <t>Industrias Vassallo Inc</t>
  </si>
  <si>
    <t>Simmons Pet Food Inc</t>
  </si>
  <si>
    <t>Building located at 1700 East Quarter Road/Arkansas</t>
  </si>
  <si>
    <t>Broadstone Real Estate LLC</t>
  </si>
  <si>
    <t>AM/PM convenience stores,Long John Silvers restaurant</t>
  </si>
  <si>
    <t>Copper Mountain Ski Resort</t>
  </si>
  <si>
    <t>Ridgerunner Properties LLC,PICS Marketing Inc</t>
  </si>
  <si>
    <t>9 Convenience stores/Missouri</t>
  </si>
  <si>
    <t>Asia Properties Inc</t>
  </si>
  <si>
    <t>Macau Casino VIP club</t>
  </si>
  <si>
    <t>Flybridge Capital Partners</t>
  </si>
  <si>
    <t>Lighter Living Inc</t>
  </si>
  <si>
    <t>Yuri Itkis Gaming Trust of 1993</t>
  </si>
  <si>
    <t>FortuNet Inc</t>
  </si>
  <si>
    <t>swell.com</t>
  </si>
  <si>
    <t>Merit Group Inc/The</t>
  </si>
  <si>
    <t>Pensa Pharma SA</t>
  </si>
  <si>
    <t>Breckenridge Pharmaceutical Inc</t>
  </si>
  <si>
    <t>Private Investor,TowerBrook Capital Partners LP (Fund: TowerBrook Investors III LP)</t>
  </si>
  <si>
    <t>Rave Cinemas LLC</t>
  </si>
  <si>
    <t>Eschenbach Optik GmbH</t>
  </si>
  <si>
    <t>Tura LLP</t>
  </si>
  <si>
    <t>Intralot SA-Integrated Lottery Systems &amp; Services</t>
  </si>
  <si>
    <t>Cyberarts Inc</t>
  </si>
  <si>
    <t>Aisling Capital LLC (Fund: Aisling Capital II LP),Menemsha Capital Partners</t>
  </si>
  <si>
    <t>Apple Inc</t>
  </si>
  <si>
    <t>Rudy Holding II SARL</t>
  </si>
  <si>
    <t>CanWel Building Materials Group Ltd</t>
  </si>
  <si>
    <t>Broadleaf Logistics Co</t>
  </si>
  <si>
    <t>Blackwell UK Ltd</t>
  </si>
  <si>
    <t>Baker &amp; Taylor Inc</t>
  </si>
  <si>
    <t>Blackwell Book Services North America,James Bennett bookseller</t>
  </si>
  <si>
    <t>ModusLink Global Solutions Inc</t>
  </si>
  <si>
    <t>ModusLink Recovery LLC</t>
  </si>
  <si>
    <t>WWA Group Inc</t>
  </si>
  <si>
    <t>Asset Forum LLC</t>
  </si>
  <si>
    <t>Sioux Falls Canaries Professional Baseball LLC</t>
  </si>
  <si>
    <t>Sioux Falls Sports LLC</t>
  </si>
  <si>
    <t>Sioux Falls Canaries Baseball Club</t>
  </si>
  <si>
    <t>BPW Acquisition Corp</t>
  </si>
  <si>
    <t>NCR Corp</t>
  </si>
  <si>
    <t>DVDPlay Inc</t>
  </si>
  <si>
    <t>Little Sheep Group Ltd</t>
  </si>
  <si>
    <t>Inner Mongolia Little Lamb USA Corp</t>
  </si>
  <si>
    <t>Arena Football League</t>
  </si>
  <si>
    <t>Arena Football One LLC</t>
  </si>
  <si>
    <t>Fetch Inc</t>
  </si>
  <si>
    <t>Northern Lights Pet Supply LLC</t>
  </si>
  <si>
    <t>Muy Mucho Group LP</t>
  </si>
  <si>
    <t>21 Chili's Grill &amp; Bar Restaurants</t>
  </si>
  <si>
    <t>Frank Sisson's Silver Dollar Ltd,EGC Properties Ltd</t>
  </si>
  <si>
    <t>Data Systems Worldwide Inc</t>
  </si>
  <si>
    <t>New England Pantry</t>
  </si>
  <si>
    <t>TPG Capital (Fund: TPG Ventures LP),Foundation Capital LLC (Fund: Foundation Capital IV LP...</t>
  </si>
  <si>
    <t>North Country BBQ Ventures LLC</t>
  </si>
  <si>
    <t>Famous Dave's of America Inc</t>
  </si>
  <si>
    <t>Seven Famous Dave's restaurants</t>
  </si>
  <si>
    <t>15 Theatres</t>
  </si>
  <si>
    <t>35 NAI theaters</t>
  </si>
  <si>
    <t>Sanofi</t>
  </si>
  <si>
    <t>Joy of Austin</t>
  </si>
  <si>
    <t>Paneltech International Holdings Inc</t>
  </si>
  <si>
    <t>Paneltech International</t>
  </si>
  <si>
    <t>Boston Millennia Partners,Alta Partners,Asset Management Co,Foundation Medical Partners LP...</t>
  </si>
  <si>
    <t>Coapt Systems Inc</t>
  </si>
  <si>
    <t>Key Brand Entertainment Inc</t>
  </si>
  <si>
    <t>Theatre Direct NY Inc</t>
  </si>
  <si>
    <t>Baristas Coffee Co Inc</t>
  </si>
  <si>
    <t>Biotec Pharmacon ASA</t>
  </si>
  <si>
    <t>Sana Pharma AS</t>
  </si>
  <si>
    <t>Immunocorp Consumer Health AS</t>
  </si>
  <si>
    <t>Southern Counties Oil Co</t>
  </si>
  <si>
    <t>Sterling Partners</t>
  </si>
  <si>
    <t>Liberty Propane LP,SCP GP Propane Partners I Inc,SCP LP Propane Partners I Inc,Liberty Pro...</t>
  </si>
  <si>
    <t>Sun Products Corp/The</t>
  </si>
  <si>
    <t>Sunlight branded hand &amp; machine dish care business</t>
  </si>
  <si>
    <t>MGS Corp of Delaware</t>
  </si>
  <si>
    <t>Maly's Midwest Salon Services,Marshall Salon Services</t>
  </si>
  <si>
    <t>Canada Pension Plan Investment Board</t>
  </si>
  <si>
    <t>Donahue Schriber Realty Group LP</t>
  </si>
  <si>
    <t>Del Mar Highlands Town Center</t>
  </si>
  <si>
    <t>Smith &amp; Hawken brand</t>
  </si>
  <si>
    <t>Officeland Inc</t>
  </si>
  <si>
    <t>Printelligent Corp</t>
  </si>
  <si>
    <t>Digital Document Solutions Inc</t>
  </si>
  <si>
    <t>Media Factory Inc</t>
  </si>
  <si>
    <t>Speed Commerce Inc</t>
  </si>
  <si>
    <t>Rights to Axis Powers Hetalia</t>
  </si>
  <si>
    <t>Daufuskie Island Properties LLC</t>
  </si>
  <si>
    <t>Montauk Resorts LLC</t>
  </si>
  <si>
    <t>Daufuskie Island Resort &amp; Breathe Spa</t>
  </si>
  <si>
    <t>CFL Pizza LLC</t>
  </si>
  <si>
    <t>VOXX International Corp</t>
  </si>
  <si>
    <t>Invision Industries Inc</t>
  </si>
  <si>
    <t>Iberdrola SA</t>
  </si>
  <si>
    <t>Seneca Lake Gas Storage</t>
  </si>
  <si>
    <t>Talon Lacrosse LLC</t>
  </si>
  <si>
    <t>Accel Marketing LLC</t>
  </si>
  <si>
    <t>8 stores/North Caroline</t>
  </si>
  <si>
    <t>Oceans Casino Cruises Inc</t>
  </si>
  <si>
    <t>Chevron Corp</t>
  </si>
  <si>
    <t>Cumberland Farms Inc</t>
  </si>
  <si>
    <t>Gulf Brand Rights</t>
  </si>
  <si>
    <t>Katz Group Canada Inc</t>
  </si>
  <si>
    <t>Snyder Pharmacy Business/Minnesota</t>
  </si>
  <si>
    <t>Mike The Pike Productions Inc</t>
  </si>
  <si>
    <t>TheCopSwap.com,CopSwap.org</t>
  </si>
  <si>
    <t>Shiseido Co Ltd</t>
  </si>
  <si>
    <t>Bare Escentuals Inc</t>
  </si>
  <si>
    <t>Commonwealth Audi,Commonwealth Volkswagen</t>
  </si>
  <si>
    <t>Best Buy Co Inc,Intel Corp,Jafco Co Ltd,Polycom Inc,Onkyo Corp,Panasonic Venture Group Inc...</t>
  </si>
  <si>
    <t>Charcoal Newco 2 Ltd</t>
  </si>
  <si>
    <t>Cypress Gardens Adventure Park LLC</t>
  </si>
  <si>
    <t>Polatis Photonics Inc</t>
  </si>
  <si>
    <t>Laura Canada</t>
  </si>
  <si>
    <t>38 Liz Claiborne retail locations</t>
  </si>
  <si>
    <t>Cosmetic Specialties Inc</t>
  </si>
  <si>
    <t>Asparron Capital LLC</t>
  </si>
  <si>
    <t>Jars and Closures assets</t>
  </si>
  <si>
    <t>KLCG Property LLC,Gurnee Property LLC</t>
  </si>
  <si>
    <t>Dougherty &amp; Co LLC</t>
  </si>
  <si>
    <t>KeyLime Cove</t>
  </si>
  <si>
    <t>Griffith Holdings Inc</t>
  </si>
  <si>
    <t>UBL Interactive Inc</t>
  </si>
  <si>
    <t>Name Dynamics Inc/Old</t>
  </si>
  <si>
    <t>Capital Art Inc</t>
  </si>
  <si>
    <t>Rockstyle Corp</t>
  </si>
  <si>
    <t>UpGrade Auto Products</t>
  </si>
  <si>
    <t>TACNA International Corp</t>
  </si>
  <si>
    <t>Playtech Plc</t>
  </si>
  <si>
    <t>National Marketing Services</t>
  </si>
  <si>
    <t>SPAR Group Inc</t>
  </si>
  <si>
    <t>3 El Amal Pharmacies</t>
  </si>
  <si>
    <t>QED Connect Inc</t>
  </si>
  <si>
    <t>Wild About Harry's Inc</t>
  </si>
  <si>
    <t>Austin's Top Dog LLC</t>
  </si>
  <si>
    <t>Austin area franchise</t>
  </si>
  <si>
    <t>Meta Financial Group Inc</t>
  </si>
  <si>
    <t>Prime Resources International</t>
  </si>
  <si>
    <t>Bingo hall</t>
  </si>
  <si>
    <t>True Ventures</t>
  </si>
  <si>
    <t>Inventables Inc</t>
  </si>
  <si>
    <t>Sports Prescriptions Inc</t>
  </si>
  <si>
    <t>Weatherly Aircraft Co</t>
  </si>
  <si>
    <t>Equi Wear,Double Diamond Gloves,Force Fields Magnetics,Sports Rx</t>
  </si>
  <si>
    <t>Panorama Mountain Village Inc</t>
  </si>
  <si>
    <t>Technicolor SA</t>
  </si>
  <si>
    <t>Convergent Media Systems Corp</t>
  </si>
  <si>
    <t>Paradies Shops LLC/The</t>
  </si>
  <si>
    <t>Thompson's Gas &amp; Electric Services Inc</t>
  </si>
  <si>
    <t>West Georgia Propane Inc</t>
  </si>
  <si>
    <t>Pacific World Corp</t>
  </si>
  <si>
    <t>Woodward Labs</t>
  </si>
  <si>
    <t>Rock Creek Athletics Inc</t>
  </si>
  <si>
    <t>Royal India Express</t>
  </si>
  <si>
    <t>Vitamin Research Products Inc,Health Resources LLC</t>
  </si>
  <si>
    <t>DADS Pet Care</t>
  </si>
  <si>
    <t>Arkat Nutrition Inc</t>
  </si>
  <si>
    <t>Unnamed Buyer,Kayne Anderson Capital Advisors LP (Fund: Kayne Partners Fund LP)</t>
  </si>
  <si>
    <t>Procter &amp; Gamble Co/The,Sequoia Capital Operations LLC,Kleiner Perkins Caufield &amp; Byers (F...</t>
  </si>
  <si>
    <t>Navigenics Inc</t>
  </si>
  <si>
    <t>Virginina LP Gas Inc</t>
  </si>
  <si>
    <t>Chesapeake Utilities Corp</t>
  </si>
  <si>
    <t>CTX Technologies Inc</t>
  </si>
  <si>
    <t>Motors Liquidation Co</t>
  </si>
  <si>
    <t>Automotive plant</t>
  </si>
  <si>
    <t>Tampa Bay Sports &amp; Entertainment LLC</t>
  </si>
  <si>
    <t>Reach Messaging Holdings Inc</t>
  </si>
  <si>
    <t>Reach Messaging Inc</t>
  </si>
  <si>
    <t>MINDBODY Inc</t>
  </si>
  <si>
    <t>ClientMagic Software</t>
  </si>
  <si>
    <t>Velosi Ltd</t>
  </si>
  <si>
    <t>Velosi Brand</t>
  </si>
  <si>
    <t>Truboy Freight International Inc</t>
  </si>
  <si>
    <t>Contrans Group Inc</t>
  </si>
  <si>
    <t>Rugged Bear Inc</t>
  </si>
  <si>
    <t>Detwiler Fenton Group Inc</t>
  </si>
  <si>
    <t>Children's clothing business</t>
  </si>
  <si>
    <t>Rams Football Co LLC/The</t>
  </si>
  <si>
    <t>ING Groep NV,Scout Real Estate Capital LLC</t>
  </si>
  <si>
    <t>Sea Crest Resort &amp; Conference Center</t>
  </si>
  <si>
    <t>Davis Audio Visual</t>
  </si>
  <si>
    <t>Reed &amp; Barton Corp</t>
  </si>
  <si>
    <t>Lunt Silversmiths Inc</t>
  </si>
  <si>
    <t>Oak Hill Capital Partners LP</t>
  </si>
  <si>
    <t>Duane Reade Holdings Inc</t>
  </si>
  <si>
    <t>Ripley Entertainment Inc</t>
  </si>
  <si>
    <t>Two Believe It or Not! Odditorium Franchises</t>
  </si>
  <si>
    <t>Wal-Mart Stores Inc</t>
  </si>
  <si>
    <t>VUDU Inc</t>
  </si>
  <si>
    <t>MediaRecall Holdings LLC</t>
  </si>
  <si>
    <t>Circus World Displays Ltd</t>
  </si>
  <si>
    <t>BP Lubricants USA Inc</t>
  </si>
  <si>
    <t>Wakefield Canada Inc</t>
  </si>
  <si>
    <t>Castrol Canada Inc</t>
  </si>
  <si>
    <t>JumpStart Inc</t>
  </si>
  <si>
    <t>Melody Management LLC</t>
  </si>
  <si>
    <t>Bain Capital Venture Partners LLC</t>
  </si>
  <si>
    <t>Rent the Runway Inc</t>
  </si>
  <si>
    <t>Idle Music</t>
  </si>
  <si>
    <t>Idle Media Inc</t>
  </si>
  <si>
    <t>DatPiff LLC</t>
  </si>
  <si>
    <t>Phillips Feed and Pet Supply NE LLC</t>
  </si>
  <si>
    <t>Metatron Inc</t>
  </si>
  <si>
    <t>Mobile Distribution Rights</t>
  </si>
  <si>
    <t>Private Investor,MJ Basketball Holdings LLC</t>
  </si>
  <si>
    <t>Bobcats Sports and Entertainment</t>
  </si>
  <si>
    <t>Oprah Winfrey Network LLC/The</t>
  </si>
  <si>
    <t>Television rights to PRECIOUS</t>
  </si>
  <si>
    <t>All Access Entertainment</t>
  </si>
  <si>
    <t>Five facilities/Las Vegas</t>
  </si>
  <si>
    <t>Blaine Co Inc</t>
  </si>
  <si>
    <t>Hi-Tech Pharmacal Co Inc</t>
  </si>
  <si>
    <t>Mag-Ox line of Magnesium Supplements</t>
  </si>
  <si>
    <t>Premier Pet Products LLC</t>
  </si>
  <si>
    <t>Schottenstein Stores Corp</t>
  </si>
  <si>
    <t>Taryn Rose</t>
  </si>
  <si>
    <t>Crossroads Music Ltd,Kid Gloves Inc,Kid Gloves Productions Inc</t>
  </si>
  <si>
    <t>Conexion Entertainment USA LLC</t>
  </si>
  <si>
    <t>Enmark Stations Inc</t>
  </si>
  <si>
    <t>Spinx Co Inc/The</t>
  </si>
  <si>
    <t>10 Convenience retail stores</t>
  </si>
  <si>
    <t>Technology Research Corp</t>
  </si>
  <si>
    <t>Patco Electronics Inc</t>
  </si>
  <si>
    <t>DreamWorks Animation SKG Inc</t>
  </si>
  <si>
    <t>Rights to Help/The</t>
  </si>
  <si>
    <t>Heartland Jockey Club Ltd</t>
  </si>
  <si>
    <t>Beulah Park Gaming Ventures Inc</t>
  </si>
  <si>
    <t>Best Buy Co Inc,Cisco Systems Inc,US Venture Partners,Lux Capital,Hatteras Funds,New Enter...</t>
  </si>
  <si>
    <t>SiBEAM Inc</t>
  </si>
  <si>
    <t>Bayer AG</t>
  </si>
  <si>
    <t>Body Bar Inc</t>
  </si>
  <si>
    <t>Camelot Entertainment Group Inc</t>
  </si>
  <si>
    <t>Who is KK Downey</t>
  </si>
  <si>
    <t>Index Ventures</t>
  </si>
  <si>
    <t>Sonos Inc</t>
  </si>
  <si>
    <t>RMG Networks Inc</t>
  </si>
  <si>
    <t>Pharmacy TV</t>
  </si>
  <si>
    <t>Line 204</t>
  </si>
  <si>
    <t>Quixote Studios</t>
  </si>
  <si>
    <t>Chanhassen Theatre LLC</t>
  </si>
  <si>
    <t>JDS Capital LP</t>
  </si>
  <si>
    <t>EntertainmentXpress</t>
  </si>
  <si>
    <t>Sycamore Entertainment Group Inc</t>
  </si>
  <si>
    <t>Sycamore Films Inc</t>
  </si>
  <si>
    <t>Charlotte Bobcats</t>
  </si>
  <si>
    <t>InCase Designs Corp</t>
  </si>
  <si>
    <t>RiceBran Technologies</t>
  </si>
  <si>
    <t>Manna Pro Products LLC</t>
  </si>
  <si>
    <t>Natural Glo,Satin Finish,Max-E-Glo</t>
  </si>
  <si>
    <t>USA Drug</t>
  </si>
  <si>
    <t>Prescription Files &amp; Other Assets</t>
  </si>
  <si>
    <t>Sorenson Capital</t>
  </si>
  <si>
    <t>Provo Craft and Novelty Inc</t>
  </si>
  <si>
    <t>Maryland Jockey Club of Baltimore City Inc/The</t>
  </si>
  <si>
    <t>Floss and Go Inc</t>
  </si>
  <si>
    <t>On The Border Mexican Grill &amp; Cantina</t>
  </si>
  <si>
    <t>Liberty International Entertainment Inc</t>
  </si>
  <si>
    <t>Crescent Street Holdings LLC</t>
  </si>
  <si>
    <t>Cherry Lane Music Publishing Co Inc</t>
  </si>
  <si>
    <t>Banijay Entertainment</t>
  </si>
  <si>
    <t>Bunim-Murray Productions</t>
  </si>
  <si>
    <t>Remke Markets</t>
  </si>
  <si>
    <t>3240 Highland Avenue,5071 Glencrossing Way,5218 Beechmont Avenue,3872 Paxton Avenue,9600 S...</t>
  </si>
  <si>
    <t>Value Music Concepts Inc</t>
  </si>
  <si>
    <t>Lake City Co LLC</t>
  </si>
  <si>
    <t>Lloyds Development Capital Holdings Ltd</t>
  </si>
  <si>
    <t>Matrix Energy Services Inc</t>
  </si>
  <si>
    <t>Kelcord International Inc,Omniscient Venture Partners,Clairvoyant Capital,NASA Bioventures...</t>
  </si>
  <si>
    <t>Kosmos Biotherapeutics</t>
  </si>
  <si>
    <t>Yogurt Mountain Holdings LLC</t>
  </si>
  <si>
    <t>Charlesbank Capital Partners LLC</t>
  </si>
  <si>
    <t>Papa Murphy's International Inc</t>
  </si>
  <si>
    <t>Boyd Co LLC</t>
  </si>
  <si>
    <t>Cecil I Walker Machinery Co</t>
  </si>
  <si>
    <t>Vitec Group PLC/The</t>
  </si>
  <si>
    <t>Clear-Com Communication Systems</t>
  </si>
  <si>
    <t>Stock Building Supply Holdings LLC</t>
  </si>
  <si>
    <t>National Home Centers Inc</t>
  </si>
  <si>
    <t>Rainbow Casino</t>
  </si>
  <si>
    <t>Saban Capital Group Inc</t>
  </si>
  <si>
    <t>Baird Private Equity</t>
  </si>
  <si>
    <t>New Vitality/Farmingdale NY</t>
  </si>
  <si>
    <t>Eastman Kodak Co</t>
  </si>
  <si>
    <t>Telecorps Holdings Inc</t>
  </si>
  <si>
    <t>Laser-Pacific Media Corp</t>
  </si>
  <si>
    <t>Crescent Financial Partners Inc</t>
  </si>
  <si>
    <t>Prominent Pictures LLC</t>
  </si>
  <si>
    <t>Lakeside Oil Co Inc</t>
  </si>
  <si>
    <t>Bergio International Inc</t>
  </si>
  <si>
    <t>Advanced Integrated Solutions Inc</t>
  </si>
  <si>
    <t>Arizona Production Machinery &amp; Supply</t>
  </si>
  <si>
    <t>Empire Southwest LLC</t>
  </si>
  <si>
    <t>Wingstop Restaurants Inc</t>
  </si>
  <si>
    <t>Harrelson Toyota/Scion</t>
  </si>
  <si>
    <t>LYFE Communications Inc</t>
  </si>
  <si>
    <t>Connected Lyfe Inc</t>
  </si>
  <si>
    <t>ConAgra Foods Inc</t>
  </si>
  <si>
    <t>Elan Nutrition LLC</t>
  </si>
  <si>
    <t>Northstar Global Business Services Inc</t>
  </si>
  <si>
    <t>Rounder Records</t>
  </si>
  <si>
    <t>Clover Technologies Group LLC,West Point Products LLC</t>
  </si>
  <si>
    <t>Next Element Studios</t>
  </si>
  <si>
    <t>Aspen Skiing Co</t>
  </si>
  <si>
    <t>Limelight Lodge</t>
  </si>
  <si>
    <t>Advanced Content Services Inc</t>
  </si>
  <si>
    <t>Schwan-Stabilo Group</t>
  </si>
  <si>
    <t>Cosmolab Inc</t>
  </si>
  <si>
    <t>T&amp;P Gaming Inc</t>
  </si>
  <si>
    <t>Galaxy Gaming Inc</t>
  </si>
  <si>
    <t>Global Wind Corp</t>
  </si>
  <si>
    <t>Quantum International Corp</t>
  </si>
  <si>
    <t>Essie Cosmetics Ltd</t>
  </si>
  <si>
    <t>August Equity LLP</t>
  </si>
  <si>
    <t>Somebody Cares Inc,Village Homecare Services Wales Ltd,Capital Care Inc,Community Careline...</t>
  </si>
  <si>
    <t>Silver Dollar Seatac/The,Silver Dollar Renton/The,Silver Dollar Mill Creek/The,Silver Doll...</t>
  </si>
  <si>
    <t>Pershing Square II LP,Pershing Square LP,Pershing Square International Ltd</t>
  </si>
  <si>
    <t>Coaches Sports Corner</t>
  </si>
  <si>
    <t>Greg Larson Sports Inc</t>
  </si>
  <si>
    <t>Lakeshore Entertainment Group UK Ltd,Sidney Kimmel Entertainment Inc</t>
  </si>
  <si>
    <t>Getty Images Inc</t>
  </si>
  <si>
    <t>Berliner Group</t>
  </si>
  <si>
    <t>Plandai Biotechnology Inc</t>
  </si>
  <si>
    <t>Executive Seafood Inc</t>
  </si>
  <si>
    <t>Lakeshore Entertainment Group LLC,Sidney Kimmel Entertainment Inc</t>
  </si>
  <si>
    <t>US distribution rights to movie</t>
  </si>
  <si>
    <t>SSI Venture LLC</t>
  </si>
  <si>
    <t>Arena Media Networks LLC</t>
  </si>
  <si>
    <t>Washington Sports &amp; Entertainment LP</t>
  </si>
  <si>
    <t>Better Bedding Shops Inc</t>
  </si>
  <si>
    <t>Clarity Partners</t>
  </si>
  <si>
    <t>Liberation Entertainment Inc</t>
  </si>
  <si>
    <t>Natura Pet Products Inc</t>
  </si>
  <si>
    <t>Downeast Energy Corp</t>
  </si>
  <si>
    <t>Hammond Lumber Co</t>
  </si>
  <si>
    <t>Building supply business</t>
  </si>
  <si>
    <t>Brand Athletics Inc</t>
  </si>
  <si>
    <t>CCC Globalcom Corp</t>
  </si>
  <si>
    <t>Bambooies Inc</t>
  </si>
  <si>
    <t>BrightRock Gold Corp</t>
  </si>
  <si>
    <t>Vida Pharma International Corp</t>
  </si>
  <si>
    <t>Mill Road Capital LP</t>
  </si>
  <si>
    <t>Rubio's Restaurants Inc</t>
  </si>
  <si>
    <t>Black Diamond Inc</t>
  </si>
  <si>
    <t>Black Diamond Equipment Ltd</t>
  </si>
  <si>
    <t>Mercantila Inc,LightSpeed Venture Partners (Fund: Lightspeed Venture Partners VII LP)</t>
  </si>
  <si>
    <t>Blucora Inc</t>
  </si>
  <si>
    <t>Mercantila Acquisition LLC</t>
  </si>
  <si>
    <t>Petra Pet Inc</t>
  </si>
  <si>
    <t>NEP Broadcasting LLC</t>
  </si>
  <si>
    <t>Premiere Entertainment</t>
  </si>
  <si>
    <t>First Round Capital,Battery Ventures (Fund: Battery Ventures VIII LP)</t>
  </si>
  <si>
    <t>Jelli Inc</t>
  </si>
  <si>
    <t>Global Franchise Group LLC</t>
  </si>
  <si>
    <t>NexCen Brands Franchise Business</t>
  </si>
  <si>
    <t>Gems TV Holdings Ltd</t>
  </si>
  <si>
    <t>Multimedia Commerce Group Inc</t>
  </si>
  <si>
    <t>Delta Entertainment Corp</t>
  </si>
  <si>
    <t>NIC Holding Corp</t>
  </si>
  <si>
    <t>Noble Group Ltd</t>
  </si>
  <si>
    <t>Northville Product Services LP</t>
  </si>
  <si>
    <t>Life Distribution LLC</t>
  </si>
  <si>
    <t>Split Clothing brand</t>
  </si>
  <si>
    <t>Smashbox Beauty Cosmetics Inc</t>
  </si>
  <si>
    <t>Matrix Partners,Private Investor,Eden Ventures Ltd</t>
  </si>
  <si>
    <t>Phil Long Dealerships Inc</t>
  </si>
  <si>
    <t>Daniels Chevrolet</t>
  </si>
  <si>
    <t>Del Taco Holdings Inc</t>
  </si>
  <si>
    <t>Keyuan Petrochemicals Inc</t>
  </si>
  <si>
    <t>Keyuan Plastics Co</t>
  </si>
  <si>
    <t>Cedar Creek Inc</t>
  </si>
  <si>
    <t>AMC Entertainment Holdings Inc</t>
  </si>
  <si>
    <t>9 Theatres</t>
  </si>
  <si>
    <t>Kattus Pro Team Sports Inc</t>
  </si>
  <si>
    <t>Goldspan Resources Inc</t>
  </si>
  <si>
    <t>Microsoft Corp</t>
  </si>
  <si>
    <t>Phase One A/S</t>
  </si>
  <si>
    <t>Microsoft Expression Media product</t>
  </si>
  <si>
    <t>Sports Avenue</t>
  </si>
  <si>
    <t>LGI Network LLC</t>
  </si>
  <si>
    <t>Crown Crafts Inc</t>
  </si>
  <si>
    <t>Bibsters product</t>
  </si>
  <si>
    <t>Dickinson Theatres Inc</t>
  </si>
  <si>
    <t>Trinity Hunt Partners GP LLC</t>
  </si>
  <si>
    <t>All Media Associates Inc</t>
  </si>
  <si>
    <t>Aphex Systems Ltd</t>
  </si>
  <si>
    <t>DW-Aphex LLC</t>
  </si>
  <si>
    <t>Blue Entertainment Sports Television</t>
  </si>
  <si>
    <t>Norwest Venture Partners</t>
  </si>
  <si>
    <t>Kudzu Interactive</t>
  </si>
  <si>
    <t>Mad Catz Interactive Inc</t>
  </si>
  <si>
    <t>TRITTON Technologies Inc</t>
  </si>
  <si>
    <t>CB Sullivan</t>
  </si>
  <si>
    <t>Bakersfield Refinery</t>
  </si>
  <si>
    <t>Restaurant Associates Inc</t>
  </si>
  <si>
    <t>Fort Worth Gentleman's Club</t>
  </si>
  <si>
    <t>Walton Street Capital LLC</t>
  </si>
  <si>
    <t>Simon Property Group Inc,California Public Employees' Retirement System</t>
  </si>
  <si>
    <t>Houston Galleria</t>
  </si>
  <si>
    <t>Chitown Deals</t>
  </si>
  <si>
    <t>Bar Louie Restaurants</t>
  </si>
  <si>
    <t>Insight Venture Partners LP</t>
  </si>
  <si>
    <t>HauteLook Inc</t>
  </si>
  <si>
    <t>BMG Rights Management GmbH</t>
  </si>
  <si>
    <t>Adage IV Catalog</t>
  </si>
  <si>
    <t>Legacy Equity Fund Inc</t>
  </si>
  <si>
    <t>8 Pawnshops/Florida</t>
  </si>
  <si>
    <t>Network Services Plus Inc</t>
  </si>
  <si>
    <t>Cava Capital,Connecticut Innovations Inc (Fund: Connecticut Innovations' Pre-Seed Fund),Gr...</t>
  </si>
  <si>
    <t>Etouches Inc</t>
  </si>
  <si>
    <t>Platinum Equity LLC,MegaPath Networks Inc</t>
  </si>
  <si>
    <t>Speakeasy DSL business</t>
  </si>
  <si>
    <t>Monumental Sports &amp; Entertainment</t>
  </si>
  <si>
    <t>Washington Wizards</t>
  </si>
  <si>
    <t>Verizon Center</t>
  </si>
  <si>
    <t>12 Theatres</t>
  </si>
  <si>
    <t>Creative Kingdoms LLC</t>
  </si>
  <si>
    <t>Arjuna Media Inc</t>
  </si>
  <si>
    <t>Thistledown Inc</t>
  </si>
  <si>
    <t>Doggett Heavy Machinery Services LLC</t>
  </si>
  <si>
    <t>John Deere construction equipment business</t>
  </si>
  <si>
    <t>Menlo Ventures</t>
  </si>
  <si>
    <t>Shanghai Yanhua Smartech Group Co Ltd</t>
  </si>
  <si>
    <t>Shanghai Packing Technology Development Co Ltd</t>
  </si>
  <si>
    <t>Fuddruckers Inc,Magic Brands LLC</t>
  </si>
  <si>
    <t>Luby's Inc</t>
  </si>
  <si>
    <t>Summerfield Packaging Inc</t>
  </si>
  <si>
    <t>MaxPack</t>
  </si>
  <si>
    <t>Max Media Group Inc</t>
  </si>
  <si>
    <t>Members Autolink</t>
  </si>
  <si>
    <t>Hometown Jewelry &amp; Loan,Abby Jewelry &amp; Loan</t>
  </si>
  <si>
    <t>5 Pawnshops/Chicago</t>
  </si>
  <si>
    <t>Lowe's Cos Inc,RockPort Capital Partners LLC,Shasta Ventures Inc</t>
  </si>
  <si>
    <t>Recurve Inc</t>
  </si>
  <si>
    <t>Uppy's Convenience Stores Inc</t>
  </si>
  <si>
    <t>Unilever Indonesia Tbk PT</t>
  </si>
  <si>
    <t>Unilever Body Care Indonesia Tbk PT</t>
  </si>
  <si>
    <t>Little Rapids Corp</t>
  </si>
  <si>
    <t>Larsen Converting</t>
  </si>
  <si>
    <t>Mediamatic Ventures Inc</t>
  </si>
  <si>
    <t>First Round Capital,FLOODGATE Fund LP,Accel Partners (Fund: Accel X LP)</t>
  </si>
  <si>
    <t>ModCloth Inc</t>
  </si>
  <si>
    <t>Love's Travel Stops &amp; Country Stores Inc</t>
  </si>
  <si>
    <t>26 travel plaza locations</t>
  </si>
  <si>
    <t>ConocoPhillips</t>
  </si>
  <si>
    <t>CFJ Properties LLC/TN</t>
  </si>
  <si>
    <t>Resilience Capital Partners LLC</t>
  </si>
  <si>
    <t>Taylor Lumber Inc</t>
  </si>
  <si>
    <t>Colder's Inc</t>
  </si>
  <si>
    <t>Flanner's Home Entertainment</t>
  </si>
  <si>
    <t>Highland Capital Partners (Fund: Highland Capital Partners VIII LP),BDC Venture Capital</t>
  </si>
  <si>
    <t>Beyond the Rack Inc</t>
  </si>
  <si>
    <t>Avon Products Inc</t>
  </si>
  <si>
    <t>Silpada Designs LLC</t>
  </si>
  <si>
    <t>Southeastern Energy Partners LLC</t>
  </si>
  <si>
    <t>Primary Capital Ltd</t>
  </si>
  <si>
    <t>Paperchase Products Ltd</t>
  </si>
  <si>
    <t>Heartland Automotive Services Inc</t>
  </si>
  <si>
    <t>Cajun Lube,CCR Lubes</t>
  </si>
  <si>
    <t>Mattress King Inc/The</t>
  </si>
  <si>
    <t>Mattress Discounters Corp</t>
  </si>
  <si>
    <t>Haining Mengnu Group Co Ltd</t>
  </si>
  <si>
    <t>Jennifer Convertibles Inc</t>
  </si>
  <si>
    <t>Jaguar's Gold Club</t>
  </si>
  <si>
    <t>Honda of Bend/OR</t>
  </si>
  <si>
    <t>Q Media Assets</t>
  </si>
  <si>
    <t>Inception Media Group LLC</t>
  </si>
  <si>
    <t>Rights to Beneath the Blue</t>
  </si>
  <si>
    <t>Fresno Chrysler Jeep Inc</t>
  </si>
  <si>
    <t>Dodge store</t>
  </si>
  <si>
    <t>Diageo PLC</t>
  </si>
  <si>
    <t>Castel Freres SAS</t>
  </si>
  <si>
    <t>Barton &amp; Guestier Bordeaux Business</t>
  </si>
  <si>
    <t>RockPort Capital Partners LLC,Physic Ventures,Venrock Associates (Fund: Venrock Associates...</t>
  </si>
  <si>
    <t>UGI Corp</t>
  </si>
  <si>
    <t>DCP Midstream Partners LP</t>
  </si>
  <si>
    <t>Atlantic Energy Inc</t>
  </si>
  <si>
    <t>Toyota Mall of Georgia,Hyundai Mall of Georgia</t>
  </si>
  <si>
    <t>Family Dog LLC</t>
  </si>
  <si>
    <t>63 Co Operated Applebee's restaurants/Minnesota &amp; Wisconsin</t>
  </si>
  <si>
    <t>Liberty Media Corp - Liberty Starz</t>
  </si>
  <si>
    <t>Kongregate Inc</t>
  </si>
  <si>
    <t>New Field Ltd</t>
  </si>
  <si>
    <t>J-Group Holdings</t>
  </si>
  <si>
    <t>New Field Honolulu Inc</t>
  </si>
  <si>
    <t>Art Van Furniture Inc</t>
  </si>
  <si>
    <t>Brewbaker's</t>
  </si>
  <si>
    <t>3 Wendys Fast Food Restaurants/PA</t>
  </si>
  <si>
    <t>Maxit Financial LLC</t>
  </si>
  <si>
    <t>39-Store Chain of Pawn Lending Locations</t>
  </si>
  <si>
    <t>BASS LLC</t>
  </si>
  <si>
    <t>JJ Cole Collections</t>
  </si>
  <si>
    <t>RC2 Corp</t>
  </si>
  <si>
    <t>Texas Rangers</t>
  </si>
  <si>
    <t>Marantha! Music</t>
  </si>
  <si>
    <t>Universal Music Publishing Group</t>
  </si>
  <si>
    <t>Kirby Foods</t>
  </si>
  <si>
    <t>2 Jerry's IGA stores</t>
  </si>
  <si>
    <t>Rangers Baseball Express LLC</t>
  </si>
  <si>
    <t>GameLogic Inc</t>
  </si>
  <si>
    <t>Lightyear Digital Theatre Ltd</t>
  </si>
  <si>
    <t>Indiantown Gas Co Inc</t>
  </si>
  <si>
    <t>Natural Gas Operating Assets</t>
  </si>
  <si>
    <t>Inergy Holdings LP</t>
  </si>
  <si>
    <t>Prestage Toyota</t>
  </si>
  <si>
    <t>Ygnition Networks Inc</t>
  </si>
  <si>
    <t>Data Provisioning Rights</t>
  </si>
  <si>
    <t>Management Group,Irving Place Capital Management LP (Fund: Irving Place Capital Partners I...</t>
  </si>
  <si>
    <t>Seller Co Inc</t>
  </si>
  <si>
    <t>American Reliance Inc</t>
  </si>
  <si>
    <t>AMETEK Inc</t>
  </si>
  <si>
    <t>Power Division</t>
  </si>
  <si>
    <t>Hughes LP Gas Inc</t>
  </si>
  <si>
    <t>JNS Holdings Corp</t>
  </si>
  <si>
    <t>JNS Power &amp; Control Systems Inc</t>
  </si>
  <si>
    <t>Google Inc</t>
  </si>
  <si>
    <t>American Blue Ribbon Holdings LLC</t>
  </si>
  <si>
    <t>Western Petroleum Co</t>
  </si>
  <si>
    <t>JEMB Realty Corp,Gomes Gaming Inc</t>
  </si>
  <si>
    <t>Resorts Atlantic City</t>
  </si>
  <si>
    <t>Mid-Atlantic Convenience Stores LLC</t>
  </si>
  <si>
    <t>Blackstreet Capital Advisors LLC</t>
  </si>
  <si>
    <t>Park Seed Co</t>
  </si>
  <si>
    <t>Victoria Partners LLC</t>
  </si>
  <si>
    <t>Victoria National Golf Club</t>
  </si>
  <si>
    <t>18 ApothecaryRx Pharmacies</t>
  </si>
  <si>
    <t>Sharp Community Energy Inc</t>
  </si>
  <si>
    <t>Presto Convenience Stores LLC</t>
  </si>
  <si>
    <t>47 Convenience Stores</t>
  </si>
  <si>
    <t>3G Capital Inc</t>
  </si>
  <si>
    <t>Anaconda Sports Inc</t>
  </si>
  <si>
    <t>Wicks Group of Cos LLC/The</t>
  </si>
  <si>
    <t>Antenna Audio Ltd,Antenna Audio Inc</t>
  </si>
  <si>
    <t>Omnicare Inc</t>
  </si>
  <si>
    <t>Walgreens Long-term Care Pharmacy Business</t>
  </si>
  <si>
    <t>Omnicare Home Infusion Business</t>
  </si>
  <si>
    <t>Authentic Brands Group LLC</t>
  </si>
  <si>
    <t>TapouT LLC,Silver Star Casting Co</t>
  </si>
  <si>
    <t>NGS Energy LP</t>
  </si>
  <si>
    <t>Tres Palacios Gas Storage LLC</t>
  </si>
  <si>
    <t>World Sports Media Group Inc</t>
  </si>
  <si>
    <t>Six Sigma Tennis</t>
  </si>
  <si>
    <t>Presperse LLC</t>
  </si>
  <si>
    <t>Crystal Flash Petroleum LLC</t>
  </si>
  <si>
    <t>Canyon Capital Advisors LLC</t>
  </si>
  <si>
    <t>SWG Holdings LLC</t>
  </si>
  <si>
    <t>SW Gaming LLC</t>
  </si>
  <si>
    <t>Nestle SA</t>
  </si>
  <si>
    <t>Kellex Corp</t>
  </si>
  <si>
    <t>Oak Hill Advisors LP,Private Investor,Levine Leichtman Capital Partners Inc (Fund: Levine ...</t>
  </si>
  <si>
    <t>Harlow's Casino Resort &amp; Hotel</t>
  </si>
  <si>
    <t>Grupo Televisa SAB</t>
  </si>
  <si>
    <t>DHX Media Ltd</t>
  </si>
  <si>
    <t>W!LDBRAIN Entertainment Inc</t>
  </si>
  <si>
    <t>North American distribution rights to movie</t>
  </si>
  <si>
    <t>Compass Diversified Holdings</t>
  </si>
  <si>
    <t>ERGO Baby Carrier Inc/The</t>
  </si>
  <si>
    <t>Village Roadshow Gold Class Cinemas LLC</t>
  </si>
  <si>
    <t>IPic-Gold Class Entertainment LLC</t>
  </si>
  <si>
    <t>Garmin Ltd</t>
  </si>
  <si>
    <t>MetriGear Inc</t>
  </si>
  <si>
    <t>Giggles N' Hugs Inc</t>
  </si>
  <si>
    <t>GNH Inc</t>
  </si>
  <si>
    <t>Angel Management Group</t>
  </si>
  <si>
    <t>Pure Management Group</t>
  </si>
  <si>
    <t>Pro's Ranch Markets Inc</t>
  </si>
  <si>
    <t>Vallarta Supermarkets Inc</t>
  </si>
  <si>
    <t>Management Group,Brockway Moran &amp; Partners Inc (Fund: Brockway Moran &amp; Partners Fund III LP)</t>
  </si>
  <si>
    <t>Daymen Photo Marketing Ltd</t>
  </si>
  <si>
    <t>Aerial Co Inc</t>
  </si>
  <si>
    <t>American International Group Inc,Bank of America Corp,Falcon Investment Advisors LLC (Fund...</t>
  </si>
  <si>
    <t>FMR LLC,Fortress Investment Group LLC (Fund: Fortress Investment Fund V LP)</t>
  </si>
  <si>
    <t>Coastal Auto Partners LLC</t>
  </si>
  <si>
    <t>Car Town KIA USA Florence</t>
  </si>
  <si>
    <t>Liveonthego.com</t>
  </si>
  <si>
    <t>MGM Resorts International,Lloyds Banking Group PLC</t>
  </si>
  <si>
    <t>M Resort LLC/The</t>
  </si>
  <si>
    <t>Energizer Holdings Inc</t>
  </si>
  <si>
    <t>Dollar Giant Store BC Ltd</t>
  </si>
  <si>
    <t>Film Roman animation studio</t>
  </si>
  <si>
    <t>Apple Investors Group LLC</t>
  </si>
  <si>
    <t>20 Company-Operated Applebee's Restaurants</t>
  </si>
  <si>
    <t>Gymboree Corp/The</t>
  </si>
  <si>
    <t>Harper Oil Co</t>
  </si>
  <si>
    <t>Intel Capital Corp,Oak Investment Partners (Fund: Oak Investment Partners XII LP),Khosla V...</t>
  </si>
  <si>
    <t>Veebeam Corp</t>
  </si>
  <si>
    <t>Atrinsic Inc</t>
  </si>
  <si>
    <t>Popsugar Inc</t>
  </si>
  <si>
    <t>MyPerfectSale</t>
  </si>
  <si>
    <t>Rinderer's Drug Stores Inc</t>
  </si>
  <si>
    <t>Swiss Post Solutions Inc</t>
  </si>
  <si>
    <t>MEILLERGHP GmbH</t>
  </si>
  <si>
    <t>Los Angeles Lakers Inc</t>
  </si>
  <si>
    <t>Ladybug Resource Group Inc</t>
  </si>
  <si>
    <t>MAG International Inc</t>
  </si>
  <si>
    <t>Gundown/Movie Distribution Rights</t>
  </si>
  <si>
    <t>Magic Johnson Enterprises Inc</t>
  </si>
  <si>
    <t>Urban Coffee Opportunities LLC</t>
  </si>
  <si>
    <t>Booth Creek Resort Properties LLC</t>
  </si>
  <si>
    <t>Northstar at Tahoe Resort</t>
  </si>
  <si>
    <t>Waha Capital PJSC</t>
  </si>
  <si>
    <t>AerCap Holdings NV</t>
  </si>
  <si>
    <t>Bergine.com</t>
  </si>
  <si>
    <t>Inverness Capital Partners LP</t>
  </si>
  <si>
    <t>Nexergy Inc</t>
  </si>
  <si>
    <t>J.D Carpenter Cos Inc</t>
  </si>
  <si>
    <t>Six convenience stores</t>
  </si>
  <si>
    <t>Millennium Audi Franchise</t>
  </si>
  <si>
    <t>Small Island Investments Ltd</t>
  </si>
  <si>
    <t>Kerr Enterprises Inc</t>
  </si>
  <si>
    <t>Stan James PLC</t>
  </si>
  <si>
    <t>Racing2day LLC</t>
  </si>
  <si>
    <t>AIFC Inc</t>
  </si>
  <si>
    <t>Artfest International Inc/Old</t>
  </si>
  <si>
    <t>United Women's Football League</t>
  </si>
  <si>
    <t>RDO Equipment Co</t>
  </si>
  <si>
    <t>Pringle Tractor Co</t>
  </si>
  <si>
    <t>Kabredlo's Inc</t>
  </si>
  <si>
    <t>Palace Casino/The,Chips Casino/The</t>
  </si>
  <si>
    <t>Metro Ford Truck Sales Inc</t>
  </si>
  <si>
    <t>Agilex Flavors &amp; Fragrances Inc</t>
  </si>
  <si>
    <t>Kerry Group PLC</t>
  </si>
  <si>
    <t>Key Essentials Inc</t>
  </si>
  <si>
    <t>JGB Distributing Inc</t>
  </si>
  <si>
    <t>Lawson Products Inc/DE</t>
  </si>
  <si>
    <t>Rutland Tool &amp; Supply Co Inc</t>
  </si>
  <si>
    <t>Ashley Stewart Ltd</t>
  </si>
  <si>
    <t>PepsiCo Inc</t>
  </si>
  <si>
    <t>General Nutrition Cos Inc</t>
  </si>
  <si>
    <t>Global Axcess Corp</t>
  </si>
  <si>
    <t>Tejas Video Partners Ltd</t>
  </si>
  <si>
    <t>Tenaya Capital,Draper Fisher Jurvetson (Fund: Draper Fisher Jurvetson X LP)</t>
  </si>
  <si>
    <t>Hertz Global Holdings Inc</t>
  </si>
  <si>
    <t>Western Machinery</t>
  </si>
  <si>
    <t>Centerbridge Capital Partners LLC</t>
  </si>
  <si>
    <t>Rock Bottom Restaurants Inc</t>
  </si>
  <si>
    <t>Dabur India Ltd</t>
  </si>
  <si>
    <t>Namaste Laboratories LLC</t>
  </si>
  <si>
    <t>Gordon Biersch Brewery Restaurant Group Inc</t>
  </si>
  <si>
    <t>Protek</t>
  </si>
  <si>
    <t>Pennington Gas Service</t>
  </si>
  <si>
    <t>Propane Gas Assets</t>
  </si>
  <si>
    <t>Jeld-Wen Holding Inc</t>
  </si>
  <si>
    <t>Northview Hotel Group LLC,Oaktree Capital Group LLC (Fund: OCM Real Estate Opportunities F...</t>
  </si>
  <si>
    <t>Running Y Ranch,Brasada Ranch,Eagle Crest Resort Development LLC</t>
  </si>
  <si>
    <t>Tix Productions Inc</t>
  </si>
  <si>
    <t>Squaw Valley Development Co</t>
  </si>
  <si>
    <t>KSL Capital Partners LLC</t>
  </si>
  <si>
    <t>J Crew Group Inc</t>
  </si>
  <si>
    <t>Ascent Media Group LLC,Ascent Media Group Ltd</t>
  </si>
  <si>
    <t>River Downs Racetrack</t>
  </si>
  <si>
    <t>Richard Petty Motorsports</t>
  </si>
  <si>
    <t>Medallion Financial Corp,Private Investor,DGB Investments Inc</t>
  </si>
  <si>
    <t>OPI Products Inc</t>
  </si>
  <si>
    <t>Ares Management LLC (Fund: Ares Corporate Opportunities Fund III LP),Freeman Spogli &amp; Co I...</t>
  </si>
  <si>
    <t>Floor &amp; Decor Outlets of America Inc</t>
  </si>
  <si>
    <t>Euclid 13th Parking LLC</t>
  </si>
  <si>
    <t>Union Club Co/The</t>
  </si>
  <si>
    <t>1235 Euclid Ave</t>
  </si>
  <si>
    <t>Innovative Event Production</t>
  </si>
  <si>
    <t>135 SuperAmerica Convenience Stores</t>
  </si>
  <si>
    <t>International Floors of America Inc</t>
  </si>
  <si>
    <t>Sommer SA</t>
  </si>
  <si>
    <t>Centiva business</t>
  </si>
  <si>
    <t>Greenville Automotive Group</t>
  </si>
  <si>
    <t>Private Investor,Accel Partners (Fund: Accel X LP),Founder Collective (Fund: Founder Colle...</t>
  </si>
  <si>
    <t>BaubleBar Inc</t>
  </si>
  <si>
    <t>Encompass Digital Media Inc</t>
  </si>
  <si>
    <t>Fairbanks International Inc</t>
  </si>
  <si>
    <t>L &amp; L Propane Gas Co Inc,Central Propane Gas Co</t>
  </si>
  <si>
    <t>ThompsonGas</t>
  </si>
  <si>
    <t>Potomac Family Dining Group</t>
  </si>
  <si>
    <t>30 Company-Operated Applebee's Restaurants</t>
  </si>
  <si>
    <t>PRINTSouth Corp</t>
  </si>
  <si>
    <t>Shuford Mills LLC</t>
  </si>
  <si>
    <t>Sattler AG</t>
  </si>
  <si>
    <t>Outdura outdoor fabrics brand</t>
  </si>
  <si>
    <t>ExxonMobil Oil Corp</t>
  </si>
  <si>
    <t>183 Florida Properties</t>
  </si>
  <si>
    <t>183 locations</t>
  </si>
  <si>
    <t>Chalak Group Inc/The</t>
  </si>
  <si>
    <t>33 Yum! Brand Restaurants</t>
  </si>
  <si>
    <t>Another Line Inc</t>
  </si>
  <si>
    <t>Kings River Propane</t>
  </si>
  <si>
    <t>TSA Seafood LLC</t>
  </si>
  <si>
    <t>Kanmonkai Co Ltd</t>
  </si>
  <si>
    <t>Seafood Hawaii Inc</t>
  </si>
  <si>
    <t>Blossman Gas Inc</t>
  </si>
  <si>
    <t>Uneeda Gas Co Inc</t>
  </si>
  <si>
    <t>Peel's Salon Services</t>
  </si>
  <si>
    <t>Gold Club/Indiana</t>
  </si>
  <si>
    <t>Prospect Partners LLC</t>
  </si>
  <si>
    <t>24/7 Studio Equipment Inc</t>
  </si>
  <si>
    <t>Hiller Group Inc/The</t>
  </si>
  <si>
    <t>Advanced Agronomics</t>
  </si>
  <si>
    <t>Wilbur-Ellis Co</t>
  </si>
  <si>
    <t>Omega Protein Corp</t>
  </si>
  <si>
    <t>Cyvex Nutrition Inc</t>
  </si>
  <si>
    <t>Monitronics International Inc</t>
  </si>
  <si>
    <t>Soamac Inc,Voacam Inc,Coupon Flasher Inc</t>
  </si>
  <si>
    <t>Jade Design Inc</t>
  </si>
  <si>
    <t>Sherbourn Technologies</t>
  </si>
  <si>
    <t>Oxford Industries Inc</t>
  </si>
  <si>
    <t>Sugartown Worldwide LLC</t>
  </si>
  <si>
    <t>Troxell Communications Inc,AEA Investors (Fund: AEA Investors LP)</t>
  </si>
  <si>
    <t>Zenith Global Enterprises Ltd</t>
  </si>
  <si>
    <t>Davi Luxury Brand Group Inc</t>
  </si>
  <si>
    <t>Rent-A-Center Inc/TX</t>
  </si>
  <si>
    <t>Rental Store Inc/The</t>
  </si>
  <si>
    <t>Clover Investment Group</t>
  </si>
  <si>
    <t>Tortilla Coast,Cafe Deluxe</t>
  </si>
  <si>
    <t>Investor Group,Catterton Partners (Fund: Catterton Partners VI LP)</t>
  </si>
  <si>
    <t>Noodles &amp; Co</t>
  </si>
  <si>
    <t>BayWa AG</t>
  </si>
  <si>
    <t>Focused Energy</t>
  </si>
  <si>
    <t>Mason Wells Inc</t>
  </si>
  <si>
    <t>Paris Presents Inc</t>
  </si>
  <si>
    <t>Oaktree Capital Group LLC</t>
  </si>
  <si>
    <t>Private Investor,True Ventures (Fund: True Ventures II LP)</t>
  </si>
  <si>
    <t>Bandcamp Inc</t>
  </si>
  <si>
    <t>Universal American Corp/NY</t>
  </si>
  <si>
    <t>Medicare Prescription Drug Business</t>
  </si>
  <si>
    <t>Bennett Gas Co Inc</t>
  </si>
  <si>
    <t>Combe Inc</t>
  </si>
  <si>
    <t>Blistex Inc</t>
  </si>
  <si>
    <t>ODOR-EATERS Product Line</t>
  </si>
  <si>
    <t>VGM Group Inc</t>
  </si>
  <si>
    <t>JKI Client Rewards</t>
  </si>
  <si>
    <t>Reckitt Benckiser Group PLC</t>
  </si>
  <si>
    <t>Skin Care Business</t>
  </si>
  <si>
    <t>Mission Ventures LLC,Columbia Capital LLC</t>
  </si>
  <si>
    <t>Dots LLC</t>
  </si>
  <si>
    <t>High Ridge Brands Co</t>
  </si>
  <si>
    <t>Zest</t>
  </si>
  <si>
    <t>Footstar Inc</t>
  </si>
  <si>
    <t>CPEX Pharmaceuticals Inc</t>
  </si>
  <si>
    <t>Ellery HomeStyles LLC</t>
  </si>
  <si>
    <t>SRC Holdings Corp</t>
  </si>
  <si>
    <t>33 Restaurants</t>
  </si>
  <si>
    <t>Freshpet</t>
  </si>
  <si>
    <t>Pro-Pet LLC</t>
  </si>
  <si>
    <t>Pacer International Inc</t>
  </si>
  <si>
    <t>S&amp;H Leasing Inc</t>
  </si>
  <si>
    <t>Sun Tan City</t>
  </si>
  <si>
    <t>Tanworld Franchise System</t>
  </si>
  <si>
    <t>JA Cosmetics Corp</t>
  </si>
  <si>
    <t>EyesLipsFace Cosmetics</t>
  </si>
  <si>
    <t>Systems Group LLC</t>
  </si>
  <si>
    <t>Ads Security</t>
  </si>
  <si>
    <t>Alarm one,Praetorian Systems Group</t>
  </si>
  <si>
    <t>Dymatize Enterprises LLC</t>
  </si>
  <si>
    <t>Sequoia Capital Operations LLC</t>
  </si>
  <si>
    <t>Stella &amp; Dot LLC</t>
  </si>
  <si>
    <t>Scott Petroleum Corp</t>
  </si>
  <si>
    <t>Bostick Brothers Inc</t>
  </si>
  <si>
    <t>eBook Technologies Inc</t>
  </si>
  <si>
    <t>Zeller's Leasehold Interests</t>
  </si>
  <si>
    <t>Upfront Ventures (Fund: GRP III Investors LP),Greycroft Partners LLC (Fund: Greycroft Part...</t>
  </si>
  <si>
    <t>Maker Studios Inc</t>
  </si>
  <si>
    <t>51 sites</t>
  </si>
  <si>
    <t>Pow! Pix Inc</t>
  </si>
  <si>
    <t>Diamond State Ventures LLC,Banyan Mezzanine Fund LP,Consumer Growth Partners</t>
  </si>
  <si>
    <t>IO Metro</t>
  </si>
  <si>
    <t>CB Holding Corp</t>
  </si>
  <si>
    <t>Villa Enterprises Inc</t>
  </si>
  <si>
    <t>Office Beer Bar &amp; Grill/The</t>
  </si>
  <si>
    <t>Stadium Entertainment Holding Corp</t>
  </si>
  <si>
    <t>Stadium Entertainment Holdings Inc</t>
  </si>
  <si>
    <t>Stadium Entertainment Corp</t>
  </si>
  <si>
    <t>Ascent Aviation Group Inc</t>
  </si>
  <si>
    <t>Rhone Capital LLC,Berkshire Partners LLC (Fund: Berkshire Fund VIII LP)</t>
  </si>
  <si>
    <t>Envest Private Equity</t>
  </si>
  <si>
    <t>MiniLuxe Inc</t>
  </si>
  <si>
    <t>Cummins Inc</t>
  </si>
  <si>
    <t>Global Tube Form Partners LLC</t>
  </si>
  <si>
    <t>Cummins Exhaust Business</t>
  </si>
  <si>
    <t>WRIT Media Group Inc</t>
  </si>
  <si>
    <t>Writers? Assistants Movie Inc</t>
  </si>
  <si>
    <t>Forever Man Movie Inc</t>
  </si>
  <si>
    <t>JA Energy</t>
  </si>
  <si>
    <t>His Name is Noah Movie Inc</t>
  </si>
  <si>
    <t>Northern Colorado Paper Inc</t>
  </si>
  <si>
    <t>Interline Brands Inc</t>
  </si>
  <si>
    <t>Eden Bidco Ltd</t>
  </si>
  <si>
    <t>Denimhead Inc</t>
  </si>
  <si>
    <t>Handy &amp; Harman Ltd</t>
  </si>
  <si>
    <t>Flexcon Industries Inc</t>
  </si>
  <si>
    <t>Graphics Division/Arlon Inc</t>
  </si>
  <si>
    <t>Paragon Entertainment LLC</t>
  </si>
  <si>
    <t>Atlantis 15,Chateau 14/The</t>
  </si>
  <si>
    <t>Buffalo Sabres</t>
  </si>
  <si>
    <t>American United Entertainment LLC</t>
  </si>
  <si>
    <t>Graffiti Entertainment Inc</t>
  </si>
  <si>
    <t>Feature Film Partners VII LLC</t>
  </si>
  <si>
    <t>JKL Properties LLC</t>
  </si>
  <si>
    <t>Kanebridge Corp</t>
  </si>
  <si>
    <t>Sam's Club Store</t>
  </si>
  <si>
    <t>Lions Gate Entertainment Corp,Herrick Co Inc/The</t>
  </si>
  <si>
    <t>North American distribution rights</t>
  </si>
  <si>
    <t>Anschutz Entertainment Group Inc</t>
  </si>
  <si>
    <t>Outbox Technology Inc</t>
  </si>
  <si>
    <t>DSW Inc</t>
  </si>
  <si>
    <t>United Seating &amp; Mobility LLC</t>
  </si>
  <si>
    <t>Concept Development Partners LLC</t>
  </si>
  <si>
    <t>Blackstreet Capital Management LLC</t>
  </si>
  <si>
    <t>Picture People LLC/The</t>
  </si>
  <si>
    <t>Silverscreen Entertainment Inc</t>
  </si>
  <si>
    <t>IFO Entertainment Inc</t>
  </si>
  <si>
    <t>Golden Nugget Atlantic City</t>
  </si>
  <si>
    <t>AGS LLC/DE</t>
  </si>
  <si>
    <t>Pay it Again Poker</t>
  </si>
  <si>
    <t>Growlife Inc</t>
  </si>
  <si>
    <t>Phototron Inc</t>
  </si>
  <si>
    <t>En-Ko Electronic Control Systems ICLC</t>
  </si>
  <si>
    <t>Texas Oil X-Change Inc</t>
  </si>
  <si>
    <t>Haggen Inc</t>
  </si>
  <si>
    <t>Donald J Pliner of Florida Inc</t>
  </si>
  <si>
    <t>OIP Holdings LLC</t>
  </si>
  <si>
    <t>Redi Insulation LLC</t>
  </si>
  <si>
    <t>American Sporting Goods Corp</t>
  </si>
  <si>
    <t>Harman International Industries Inc</t>
  </si>
  <si>
    <t>3dB Research Ltd</t>
  </si>
  <si>
    <t>Pfsweb Inc</t>
  </si>
  <si>
    <t>Empire Lube Inc II</t>
  </si>
  <si>
    <t>Perform Group PLC</t>
  </si>
  <si>
    <t>Goal.com North America Inc</t>
  </si>
  <si>
    <t>Heintzelman's Truck Center Inc</t>
  </si>
  <si>
    <t>Carrols Restaurant Group Inc</t>
  </si>
  <si>
    <t>Fiesta Restaurant Group Inc</t>
  </si>
  <si>
    <t>Front Row Networks Inc</t>
  </si>
  <si>
    <t>Kenra Ltd</t>
  </si>
  <si>
    <t>XO Group Inc</t>
  </si>
  <si>
    <t>Rosecroft Raceway</t>
  </si>
  <si>
    <t>Warner-Lambert Co</t>
  </si>
  <si>
    <t>Ares Capital Corp</t>
  </si>
  <si>
    <t>e.p.t. Early Pregancy Test</t>
  </si>
  <si>
    <t>Illinois Tool Works Inc</t>
  </si>
  <si>
    <t>Sopus Products car care business</t>
  </si>
  <si>
    <t>Amer Sports Oyj</t>
  </si>
  <si>
    <t>Huish Outdoors LLC</t>
  </si>
  <si>
    <t>Fitzwright Co Ltd</t>
  </si>
  <si>
    <t>Thumbplay Inc</t>
  </si>
  <si>
    <t>CC Media Holdings Inc</t>
  </si>
  <si>
    <t>Cloud-Based Music Business</t>
  </si>
  <si>
    <t>Lukoil OAO</t>
  </si>
  <si>
    <t>Cambridge Petroleum Holding Inc</t>
  </si>
  <si>
    <t>Getty Petroleum Marketing Inc</t>
  </si>
  <si>
    <t>Kenergy Scientific Inc</t>
  </si>
  <si>
    <t>I Won It Live Enterprises</t>
  </si>
  <si>
    <t>QuikTrip Corp</t>
  </si>
  <si>
    <t>Five convenience stores</t>
  </si>
  <si>
    <t>Sightline Payments LLC</t>
  </si>
  <si>
    <t>Kushner Cos,Crown Acquisitions,Carlyle Group LP/The (Fund: Carlyle Realty Partners V LP)</t>
  </si>
  <si>
    <t>Inditex SA</t>
  </si>
  <si>
    <t>666 Fifth Avenue/NY</t>
  </si>
  <si>
    <t>Unique Thrift LLC</t>
  </si>
  <si>
    <t>18 Thrift Shops</t>
  </si>
  <si>
    <t>Amici Restaurants Inc</t>
  </si>
  <si>
    <t>JC Penney Co Inc</t>
  </si>
  <si>
    <t>Desert Sky Mall</t>
  </si>
  <si>
    <t>Barodge Auto Pool Inc</t>
  </si>
  <si>
    <t>Ram Propane LLC</t>
  </si>
  <si>
    <t>Google Inc,August Capital (Fund: August Capital V LP)</t>
  </si>
  <si>
    <t>RelayRides Inc</t>
  </si>
  <si>
    <t>Tavistock Group</t>
  </si>
  <si>
    <t>E-Brands Restaurants LLC</t>
  </si>
  <si>
    <t>Catalyst Health Solutions Inc</t>
  </si>
  <si>
    <t>Catamaran PBM of Illinois II Inc</t>
  </si>
  <si>
    <t>Green Valley Ranch Gaming LLC</t>
  </si>
  <si>
    <t>Station Casinos LLC</t>
  </si>
  <si>
    <t>Green Valley Ranch Resort</t>
  </si>
  <si>
    <t>Zuffa LLC</t>
  </si>
  <si>
    <t>Piper Jaffray Cos,Polaris Venture Partners (Fund: Polaris Venture Partners IV LP)</t>
  </si>
  <si>
    <t>Baggallini Inc</t>
  </si>
  <si>
    <t>RG Barry Corp</t>
  </si>
  <si>
    <t>ValCom Technology</t>
  </si>
  <si>
    <t>Mirage Cosmetics Inc</t>
  </si>
  <si>
    <t>Certain Assets/Mirage Cosmetics Inc</t>
  </si>
  <si>
    <t>Alexander Automotive Group LLC</t>
  </si>
  <si>
    <t>Automotive Management Services Inc</t>
  </si>
  <si>
    <t>Auto Dealerships</t>
  </si>
  <si>
    <t>Andreessen Horowitz</t>
  </si>
  <si>
    <t>NorthWestern Mutual Capital,Arlon Food and Agriculture Investment Program,Brentwood Associ...</t>
  </si>
  <si>
    <t>K-MAC Holdings Corp</t>
  </si>
  <si>
    <t>Stater Bros Holdings Inc</t>
  </si>
  <si>
    <t>Omnilab Media Pty Ltd</t>
  </si>
  <si>
    <t>CertiFyle</t>
  </si>
  <si>
    <t>Decorati Inc</t>
  </si>
  <si>
    <t>Schiek's Palace Royale</t>
  </si>
  <si>
    <t>Unilever PLC</t>
  </si>
  <si>
    <t>Laundry Detergent Business</t>
  </si>
  <si>
    <t>drugstore.com Inc</t>
  </si>
  <si>
    <t>Teva Pharmaceutical Industries Ltd</t>
  </si>
  <si>
    <t>Specialized Printed Products</t>
  </si>
  <si>
    <t>Mail Inc</t>
  </si>
  <si>
    <t>Mimoco Inc</t>
  </si>
  <si>
    <t>40 IHOP Restaurants</t>
  </si>
  <si>
    <t>Aspen Partners Ltd</t>
  </si>
  <si>
    <t>Impulse Inc</t>
  </si>
  <si>
    <t>Spawn Labs Inc</t>
  </si>
  <si>
    <t>Famous Brands Edmonton Inc</t>
  </si>
  <si>
    <t>XS Cargo GP Inc,XS Cargo LP</t>
  </si>
  <si>
    <t>XS Cargo Income Fund</t>
  </si>
  <si>
    <t>Edwin Watts Golf Shops LLC</t>
  </si>
  <si>
    <t>Three stores</t>
  </si>
  <si>
    <t>Laser Controls Inc</t>
  </si>
  <si>
    <t>DISH Network Corp</t>
  </si>
  <si>
    <t>Blockbuster LLC</t>
  </si>
  <si>
    <t>EMVI Holdings LLC</t>
  </si>
  <si>
    <t>Detroit Pistons Basketball Co,Palace Sports &amp; Entertainment Inc</t>
  </si>
  <si>
    <t>Detroit Pistons,Palace of Auburn Hills,DTE Energy Music Theatre</t>
  </si>
  <si>
    <t>Executive Media Network Worldwide</t>
  </si>
  <si>
    <t>Enhanced Video Devices Inc</t>
  </si>
  <si>
    <t>Z Microsystems Inc</t>
  </si>
  <si>
    <t>Bingo Group Holdings Ltd</t>
  </si>
  <si>
    <t>CineChina Ltd</t>
  </si>
  <si>
    <t>sbe Nightlife Group</t>
  </si>
  <si>
    <t>Syndicate Hospitality</t>
  </si>
  <si>
    <t>BioSan Laboratories Inc/Derry NH</t>
  </si>
  <si>
    <t>Classic Corvettes &amp; Collectables Inc</t>
  </si>
  <si>
    <t>WWW.CLASSICCORVETTS.COM &amp; 35000SF OF CLASSIC CORVETTES &amp; COLLECTABLES</t>
  </si>
  <si>
    <t>Sierra Development Co</t>
  </si>
  <si>
    <t>William Hill PLC</t>
  </si>
  <si>
    <t>Cal Neva Sportsbook Division</t>
  </si>
  <si>
    <t>Russell &amp; Mackenna</t>
  </si>
  <si>
    <t>Maine Cottage Furniture Inc</t>
  </si>
  <si>
    <t>Kosmix Corp</t>
  </si>
  <si>
    <t>VWR International LLC</t>
  </si>
  <si>
    <t>Anachemia Canada Inc</t>
  </si>
  <si>
    <t>Indigo Books &amp; Music Inc,Unnamed Buyer,Cheung Kong Holding Inc</t>
  </si>
  <si>
    <t>Kobo Inc</t>
  </si>
  <si>
    <t>Career Sports &amp; Entertainment Inc</t>
  </si>
  <si>
    <t>JM Associates</t>
  </si>
  <si>
    <t>EQT Partners AB</t>
  </si>
  <si>
    <t>IGT-UK Group Ltd</t>
  </si>
  <si>
    <t>Washburn Industries Inc</t>
  </si>
  <si>
    <t>Turnkey Fully Equipped Classic Car Restoration Operation</t>
  </si>
  <si>
    <t>Wilson Farms Inc</t>
  </si>
  <si>
    <t>Carle Foundation/The</t>
  </si>
  <si>
    <t>10 Carle Rxecpress Pharmacies Assets</t>
  </si>
  <si>
    <t>Fitz-Wright Holdings Ltd</t>
  </si>
  <si>
    <t>New World Development Co Ltd</t>
  </si>
  <si>
    <t>Nervous Tattoo Inc</t>
  </si>
  <si>
    <t>Master License of Ed Hardy Brand</t>
  </si>
  <si>
    <t>Allure Global Solutions Inc</t>
  </si>
  <si>
    <t>Logical Solutions Inc</t>
  </si>
  <si>
    <t>Cinemark Holdings Inc</t>
  </si>
  <si>
    <t>Sea Turtle Cinema Movie Theatre</t>
  </si>
  <si>
    <t>Sexy Hair Concepts LLC</t>
  </si>
  <si>
    <t>Brandywine Bookmaking LLC</t>
  </si>
  <si>
    <t>Jumping Jack Cash Utah LLC</t>
  </si>
  <si>
    <t>7 Pawn Stores</t>
  </si>
  <si>
    <t>Access Industries Holdings Inc</t>
  </si>
  <si>
    <t>Big 10 Tire Stores Inc</t>
  </si>
  <si>
    <t>SoftBank Corp</t>
  </si>
  <si>
    <t>Azalea Capital LLC</t>
  </si>
  <si>
    <t>Management Group,Gores Group LLC/The (Fund: Gores Capital Partners III LP)</t>
  </si>
  <si>
    <t>Sage Automotive Interiors Inc</t>
  </si>
  <si>
    <t>China Grill Management Inc</t>
  </si>
  <si>
    <t>Morgans Hotel Group Co</t>
  </si>
  <si>
    <t>General Atlantic LLC,Goldman Sachs Capital Partners (Fund: GS Capital Partners VI LP),Trip...</t>
  </si>
  <si>
    <t>Capital Art LLC</t>
  </si>
  <si>
    <t>Goldman Sachs Capital Partners (Fund: GS Capital Partners VI LP),Weston Presidio Service C...</t>
  </si>
  <si>
    <t>Z Capital Partners LLC</t>
  </si>
  <si>
    <t>American Express Co</t>
  </si>
  <si>
    <t>Vente-Priveecom Deutschland GmbH</t>
  </si>
  <si>
    <t>Nokian Tyres Inc</t>
  </si>
  <si>
    <t>Tire Factory Inc</t>
  </si>
  <si>
    <t>Wholesale Operations in Denver</t>
  </si>
  <si>
    <t>Investor Group,Crane Capital Associates Inc</t>
  </si>
  <si>
    <t>Houston Astros/The</t>
  </si>
  <si>
    <t>15 Mister money pawn stores</t>
  </si>
  <si>
    <t>Sungevity Inc</t>
  </si>
  <si>
    <t>Unicharm Corp</t>
  </si>
  <si>
    <t>Simply Mac</t>
  </si>
  <si>
    <t>MacDocs</t>
  </si>
  <si>
    <t>Felissimo Corp</t>
  </si>
  <si>
    <t>10 West 56th Street LLC</t>
  </si>
  <si>
    <t>Norkus Enterprises Inc</t>
  </si>
  <si>
    <t>5 Foodtown supermarkets</t>
  </si>
  <si>
    <t>Mel Stevenson &amp; Associates Inc</t>
  </si>
  <si>
    <t>Exterior Materials Inc</t>
  </si>
  <si>
    <t>Stereo D LLC</t>
  </si>
  <si>
    <t>Pita King Bakery Ltd</t>
  </si>
  <si>
    <t>Kronos Foods Inc</t>
  </si>
  <si>
    <t>Commercial Baking Assets</t>
  </si>
  <si>
    <t>Standard Microsystems Corp</t>
  </si>
  <si>
    <t>BridgeCo Inc</t>
  </si>
  <si>
    <t>Private Investor,General Electric Pension Trust</t>
  </si>
  <si>
    <t>TuneSat LLC</t>
  </si>
  <si>
    <t>IL Fornaio America Corp</t>
  </si>
  <si>
    <t>Fortune Food Service Co</t>
  </si>
  <si>
    <t>Chowking Stores</t>
  </si>
  <si>
    <t>Legrand SA</t>
  </si>
  <si>
    <t>Middle Atlantic Products Inc</t>
  </si>
  <si>
    <t>Red Dragon</t>
  </si>
  <si>
    <t>ESPO Surf Corp</t>
  </si>
  <si>
    <t>Kleiner Perkins Caufield &amp; Byers</t>
  </si>
  <si>
    <t>SPEC Building Materials Corp</t>
  </si>
  <si>
    <t>Tiger Global Management LLC (Fund: Tiger Global Private Investment Partners VI LP),Accel P...</t>
  </si>
  <si>
    <t>Exclusively.In Inc</t>
  </si>
  <si>
    <t>Virginia Oil Co Inc</t>
  </si>
  <si>
    <t>Big Lots Inc</t>
  </si>
  <si>
    <t>Asian Coast Development Canada Ltd</t>
  </si>
  <si>
    <t>Sterling Equities Inc</t>
  </si>
  <si>
    <t>Sterling Mets LP</t>
  </si>
  <si>
    <t>Sysco Corp</t>
  </si>
  <si>
    <t>Goldberg &amp; Solovy Foods Inc</t>
  </si>
  <si>
    <t>Investor Group,Cordova Smart &amp; Williams LLC (Fund: Williams Capital Partners LP),Goldman S...</t>
  </si>
  <si>
    <t>Pola Orbis Holdings Inc</t>
  </si>
  <si>
    <t>Atlanta Spirit LLC</t>
  </si>
  <si>
    <t>True North Sports &amp; Entertainment Ltd</t>
  </si>
  <si>
    <t>Winnipeg Jets</t>
  </si>
  <si>
    <t>66 Applebee's restaurants</t>
  </si>
  <si>
    <t>KKR &amp; Co LP</t>
  </si>
  <si>
    <t>Academy Ltd</t>
  </si>
  <si>
    <t>Sundance Hydroponics</t>
  </si>
  <si>
    <t>I Hennig &amp; Co Ltd</t>
  </si>
  <si>
    <t>Verichannel LLC</t>
  </si>
  <si>
    <t>Inland Real Estate Acquisitions Inc</t>
  </si>
  <si>
    <t>Pick 'n Save</t>
  </si>
  <si>
    <t>Miselu Inc</t>
  </si>
  <si>
    <t>Rockwater Energy Solutions Inc</t>
  </si>
  <si>
    <t>Benchmark Performance Group Inc,RED Oak Water Transfer Inc,EnerMAX Services LP,Reef Servic...</t>
  </si>
  <si>
    <t>ArcaNatura LLC</t>
  </si>
  <si>
    <t>Sarie's Lounge</t>
  </si>
  <si>
    <t>Nocturne Productions Inc</t>
  </si>
  <si>
    <t>Duke &amp; King Acquisition Corp</t>
  </si>
  <si>
    <t>13 Burger King restaurants</t>
  </si>
  <si>
    <t>Kum &amp; Go LC</t>
  </si>
  <si>
    <t>mBeach Software Inc</t>
  </si>
  <si>
    <t>Pomega Inc</t>
  </si>
  <si>
    <t>General Electric Co,Comcast Corp</t>
  </si>
  <si>
    <t>Universal City Development Partners Ltd</t>
  </si>
  <si>
    <t>Access Venture Partners,Lightbank LLC,Daylight Partners</t>
  </si>
  <si>
    <t>Internet Pawn Inc</t>
  </si>
  <si>
    <t>Dulas Ltd</t>
  </si>
  <si>
    <t>Solar wholesale trading activities</t>
  </si>
  <si>
    <t>Kat Box King Inc</t>
  </si>
  <si>
    <t>For The Earth Corp</t>
  </si>
  <si>
    <t>Buckeye Corner Inc/The</t>
  </si>
  <si>
    <t>Sizzler USA</t>
  </si>
  <si>
    <t>Fireman Capital Partners</t>
  </si>
  <si>
    <t>Newton Running Co Inc</t>
  </si>
  <si>
    <t>Complete Petmart Inc</t>
  </si>
  <si>
    <t>Murdoch's Ranch &amp; Home Supply LLC</t>
  </si>
  <si>
    <t>Quality Supply Inc</t>
  </si>
  <si>
    <t>Blue Moon Beads</t>
  </si>
  <si>
    <t>Arby's Restaurant Group Inc</t>
  </si>
  <si>
    <t>TPR Holdings LLC</t>
  </si>
  <si>
    <t>Oscar Blandi Inc</t>
  </si>
  <si>
    <t>322 Sites &amp; 65 Reseller Contracts</t>
  </si>
  <si>
    <t>Shamaley Ford,Shamaley Buick-GMC LP</t>
  </si>
  <si>
    <t>Planet Organic Health Corp</t>
  </si>
  <si>
    <t>8 Super Fresh Grocery Locations</t>
  </si>
  <si>
    <t>Stron-MJC LP</t>
  </si>
  <si>
    <t>NTR Metals LLC</t>
  </si>
  <si>
    <t>Southern Bullion Trading</t>
  </si>
  <si>
    <t>SBR Multisports</t>
  </si>
  <si>
    <t>Competitor Group Inc</t>
  </si>
  <si>
    <t>SBR Triathlon Series</t>
  </si>
  <si>
    <t>Youngevity International Inc</t>
  </si>
  <si>
    <t>Youngevity Essential Life Sciences/CA</t>
  </si>
  <si>
    <t>Royal Shell Vacations Inc</t>
  </si>
  <si>
    <t>Waterstone Resorts &amp; Vacation Homes</t>
  </si>
  <si>
    <t>California Redwood Co/The</t>
  </si>
  <si>
    <t>Siskiyou Lumber Products Inc</t>
  </si>
  <si>
    <t>Haworth Inc</t>
  </si>
  <si>
    <t>Legacy Furniture Group Inc</t>
  </si>
  <si>
    <t>Best Buy Co Inc,Telecommunications Development Fund,True Ventures (Fund: True Ventures II LP)</t>
  </si>
  <si>
    <t>Valencell Inc</t>
  </si>
  <si>
    <t>Fuseideas</t>
  </si>
  <si>
    <t>Bright Matter LLC</t>
  </si>
  <si>
    <t>ZAGG Inc</t>
  </si>
  <si>
    <t>iFrogz Inc</t>
  </si>
  <si>
    <t>Spark Capital,HarbourVest Partners LLC (Fund: HarbourVest 2007 Direct Fund LP),Great Hill ...</t>
  </si>
  <si>
    <t>Wayfair LLC</t>
  </si>
  <si>
    <t>Ultrapet Inc</t>
  </si>
  <si>
    <t>Household Essentials LLC</t>
  </si>
  <si>
    <t>Cedar Fresh</t>
  </si>
  <si>
    <t>Patent rights</t>
  </si>
  <si>
    <t>Collection 2000 Ltd,Elakari Estate GmbH,Loyaltex Apparel USA Inc,Exim Designs</t>
  </si>
  <si>
    <t>Carter's Inc</t>
  </si>
  <si>
    <t>Bonnie Togs Children's Ltd</t>
  </si>
  <si>
    <t>OSH 1 Liquidating Corp</t>
  </si>
  <si>
    <t>Lionsgate</t>
  </si>
  <si>
    <t>Maple Pictures Corp</t>
  </si>
  <si>
    <t>R-Garden Inc</t>
  </si>
  <si>
    <t>My Mechanic</t>
  </si>
  <si>
    <t>7 Automotive &amp; Repair Service Centers</t>
  </si>
  <si>
    <t>HMV Group PLC</t>
  </si>
  <si>
    <t>Hilco UK Ltd</t>
  </si>
  <si>
    <t>HMV Canada Business</t>
  </si>
  <si>
    <t>Bellamora</t>
  </si>
  <si>
    <t>Distributor Base &amp; Product Line</t>
  </si>
  <si>
    <t>Dollarama Inc</t>
  </si>
  <si>
    <t>Wi-Lan Inc</t>
  </si>
  <si>
    <t>Glenayre patents.60 issued US patents plus foreign counterparts</t>
  </si>
  <si>
    <t>Warren-Chaney Office Furniture</t>
  </si>
  <si>
    <t>Leonard Green &amp; Partners LP (Fund: Green Equity Investors V LP),CVC Capital Partners Ltd (...</t>
  </si>
  <si>
    <t>BJ's Wholesale Club Inc</t>
  </si>
  <si>
    <t>NRD Holdings LLC</t>
  </si>
  <si>
    <t>Totally Wicked E-liquid Inc</t>
  </si>
  <si>
    <t>PillBox38 USA Ltd</t>
  </si>
  <si>
    <t>Woodward Camp Inc</t>
  </si>
  <si>
    <t>Alinda Capital Partners LLC</t>
  </si>
  <si>
    <t>InterPark Holdings Inc</t>
  </si>
  <si>
    <t>Toppan Printing Co Ltd</t>
  </si>
  <si>
    <t>Peeq Media LLC</t>
  </si>
  <si>
    <t>SBE Entertainment Group,Nimes Capital LLC</t>
  </si>
  <si>
    <t>Umami Restaurant Group</t>
  </si>
  <si>
    <t>First Round Capital,Lerer Ventures (Fund: Lerer Ventures II LP),SV Angel (Fund: SV Angel I...</t>
  </si>
  <si>
    <t>Warby Parker</t>
  </si>
  <si>
    <t>Delta-Galil Industries Ltd</t>
  </si>
  <si>
    <t>DNest Aviation Services Sdn Bhd,DNest Aviation Training Centre Sdn Bhd</t>
  </si>
  <si>
    <t>Sapura Resources Bhd</t>
  </si>
  <si>
    <t>Business assets</t>
  </si>
  <si>
    <t>Baron Group Ventures</t>
  </si>
  <si>
    <t>NowPhit</t>
  </si>
  <si>
    <t>Outdoor Outlet LLC</t>
  </si>
  <si>
    <t>Dinghy Planet LLC</t>
  </si>
  <si>
    <t>KO Sailing</t>
  </si>
  <si>
    <t>Ophir Resources Co</t>
  </si>
  <si>
    <t>Sports Facility Manufacturer</t>
  </si>
  <si>
    <t>Cortec Group Inc</t>
  </si>
  <si>
    <t>Fasteners for Retail Inc</t>
  </si>
  <si>
    <t>GSV Capital Corp</t>
  </si>
  <si>
    <t>Serious Energy Inc,Silver Spring Networks Inc,Chegg Inc,Gilt Groupe Inc</t>
  </si>
  <si>
    <t>Sycamore Ventures Inc</t>
  </si>
  <si>
    <t>New York City Investment Fund LLC,Private Investor,Contour Venture Partners</t>
  </si>
  <si>
    <t>Scratch Music Group</t>
  </si>
  <si>
    <t>Philadelphia 76ers Inc</t>
  </si>
  <si>
    <t>EZ Energy Ltd</t>
  </si>
  <si>
    <t>30 US Gas Stations/Convenience Stores</t>
  </si>
  <si>
    <t>Mercedes-Benz of Greenwich</t>
  </si>
  <si>
    <t>Merit Capital Partners</t>
  </si>
  <si>
    <t>Knights Apparel Inc</t>
  </si>
  <si>
    <t>American Tool Supply Inc,American Specialty Grinding Co Inc</t>
  </si>
  <si>
    <t>Sterling Investment Partners LP</t>
  </si>
  <si>
    <t>Discovery Group Holding Co LLC</t>
  </si>
  <si>
    <t>General Electric Co,InterWest Partners LLC,Bergquist Co/The,CenterPoint Ventures,Braemar E...</t>
  </si>
  <si>
    <t>Investor Group,Foundry Group</t>
  </si>
  <si>
    <t>Openspace Store Inc</t>
  </si>
  <si>
    <t>M-Tec Corp</t>
  </si>
  <si>
    <t>Drew Industries Inc</t>
  </si>
  <si>
    <t>Blue Dolphin Energy Co</t>
  </si>
  <si>
    <t>Lazarus Energy LLC</t>
  </si>
  <si>
    <t>MacroView Labs</t>
  </si>
  <si>
    <t>American Realty Advisors</t>
  </si>
  <si>
    <t>Alexandria Commons</t>
  </si>
  <si>
    <t>People's Republic of China</t>
  </si>
  <si>
    <t>Brasil China Petroleo</t>
  </si>
  <si>
    <t>Crusader Rent To Own LLC</t>
  </si>
  <si>
    <t>30 Shoppes</t>
  </si>
  <si>
    <t>Kiley Group Inc/The</t>
  </si>
  <si>
    <t>Buff Water Inc</t>
  </si>
  <si>
    <t>RockPort Capital Partners LLC,Physic Ventures,Craton Equity Partners,Venrock Associates (F...</t>
  </si>
  <si>
    <t>Williams Panhandle Propane</t>
  </si>
  <si>
    <t>Innovation Network Corp of Japan</t>
  </si>
  <si>
    <t>OBJ Enterprises Inc</t>
  </si>
  <si>
    <t>We Are Yoga LLC</t>
  </si>
  <si>
    <t>BVM Capital LLC</t>
  </si>
  <si>
    <t>NuMe Health LLC</t>
  </si>
  <si>
    <t>BI-LO LLC</t>
  </si>
  <si>
    <t>Thompson National Properties LLC</t>
  </si>
  <si>
    <t>BI-LO Grocery Store/South Carolina</t>
  </si>
  <si>
    <t>GottaGoText,Hot Deals Network</t>
  </si>
  <si>
    <t>Mobile Marketing Assets</t>
  </si>
  <si>
    <t>Retail Brand Alliance Inc</t>
  </si>
  <si>
    <t>Daidoh Ltd</t>
  </si>
  <si>
    <t>Interglobe Enterprises Ltd</t>
  </si>
  <si>
    <t>AWE Talisman</t>
  </si>
  <si>
    <t>Fashion Outlets of Niagara Falls</t>
  </si>
  <si>
    <t>Cybeck Capital Partners LLC</t>
  </si>
  <si>
    <t>Fetch! Pet Care Inc</t>
  </si>
  <si>
    <t>Sunless Inc</t>
  </si>
  <si>
    <t>Lightbank LLC,SV Angel (Fund: SV Angel III LP)</t>
  </si>
  <si>
    <t>BabbaCo Inc</t>
  </si>
  <si>
    <t>Triton Media Group LLC,Westwood One Radio Networks Inc</t>
  </si>
  <si>
    <t>Westwood One Inc</t>
  </si>
  <si>
    <t>Dial Communications Global Media LLC</t>
  </si>
  <si>
    <t>SBD Trademark LP</t>
  </si>
  <si>
    <t>Siemens AG</t>
  </si>
  <si>
    <t>DPAC Technologies Corp</t>
  </si>
  <si>
    <t>B&amp;B Electronics Manufacturing Co</t>
  </si>
  <si>
    <t>American International Group Inc</t>
  </si>
  <si>
    <t>Aeroturbine Inc</t>
  </si>
  <si>
    <t>OnGraph Technologies Pvt Ltd</t>
  </si>
  <si>
    <t>GS Home Shopping Inc,SAIF Partners Ltd,Network 18 Media &amp; Investments Ltd</t>
  </si>
  <si>
    <t>CoinJoos.com</t>
  </si>
  <si>
    <t>IMD Cos Inc</t>
  </si>
  <si>
    <t>Botanical Science Inc</t>
  </si>
  <si>
    <t>Hobby Lobby Stores Inc</t>
  </si>
  <si>
    <t>Crystal Cathedral Ministries</t>
  </si>
  <si>
    <t>Perpetual Industries Inc</t>
  </si>
  <si>
    <t>Motor Sport Country Club Holdings Inc</t>
  </si>
  <si>
    <t>Seattle International Film Festival</t>
  </si>
  <si>
    <t>Uptown Theater</t>
  </si>
  <si>
    <t>Washington Real Estate Investment Trust</t>
  </si>
  <si>
    <t>Property Portfolio</t>
  </si>
  <si>
    <t>Meruelo Group/The</t>
  </si>
  <si>
    <t>Atlanta Hawks &amp; Philips Arena Operating Rights</t>
  </si>
  <si>
    <t>Flying Food Group Inc</t>
  </si>
  <si>
    <t>International In-Flight Catering Co Ltd</t>
  </si>
  <si>
    <t>Crimzon Rose International LLC</t>
  </si>
  <si>
    <t>Associated Grocers of Maine Inc</t>
  </si>
  <si>
    <t>Camden National Corp</t>
  </si>
  <si>
    <t>ArchBrook Laguna New York LLC</t>
  </si>
  <si>
    <t>SED International Holdings Inc,Gordon Brothers Group LLC</t>
  </si>
  <si>
    <t>33 stores</t>
  </si>
  <si>
    <t>Shamrock Capital Advisors Inc</t>
  </si>
  <si>
    <t>T3Media Inc</t>
  </si>
  <si>
    <t>2 Wendy's Restaurants</t>
  </si>
  <si>
    <t>Trademarks for the curve fragrance brands and selected other fragrance brands</t>
  </si>
  <si>
    <t>Google Inc,Private Investor,General Motors Ventures LLC,Shasta Ventures Inc,August Capital...</t>
  </si>
  <si>
    <t>Fikes Wholesale Inc</t>
  </si>
  <si>
    <t>Food Fast Corp</t>
  </si>
  <si>
    <t>Boston Proper Inc</t>
  </si>
  <si>
    <t>Private Investor,First Round Capital,Harrison Metal Capital,Board of Trustees of The Lelan...</t>
  </si>
  <si>
    <t>Birchbox Inc</t>
  </si>
  <si>
    <t>MidCap Equity Partners LLC</t>
  </si>
  <si>
    <t>National Educational Music Co Ltd</t>
  </si>
  <si>
    <t>Albertsons stores,College Station Store</t>
  </si>
  <si>
    <t>Three Atlanta-Area Movie Theatres</t>
  </si>
  <si>
    <t>Bensussen Deutsch &amp; Associates Inc</t>
  </si>
  <si>
    <t>Munitio Inc</t>
  </si>
  <si>
    <t>Big Jake Music</t>
  </si>
  <si>
    <t>Ontario Teachers' Pension Plan Board,Ares Management LLC</t>
  </si>
  <si>
    <t>LuckyVitamin.com</t>
  </si>
  <si>
    <t>Dania Entertainment Center LLC</t>
  </si>
  <si>
    <t>Alberto VO5 brand &amp; Marketing Rights</t>
  </si>
  <si>
    <t>Galaxy International LLC</t>
  </si>
  <si>
    <t>Basketball Marketing Co Inc/The</t>
  </si>
  <si>
    <t>3ality Digital LLC</t>
  </si>
  <si>
    <t>Element Technica LLC</t>
  </si>
  <si>
    <t>Ritz Camera &amp; Image LLC</t>
  </si>
  <si>
    <t>BGZ Beteiligungsgesellschaft Zukunftsenergien AG</t>
  </si>
  <si>
    <t>BayWa r.e. Wind LLC</t>
  </si>
  <si>
    <t>Exponent Private Equity LLP</t>
  </si>
  <si>
    <t>Pattonair USA Inc</t>
  </si>
  <si>
    <t>Development Specialists Inc</t>
  </si>
  <si>
    <t>beza LP</t>
  </si>
  <si>
    <t>Money Clamp Inc</t>
  </si>
  <si>
    <t>Lions Gate Entertainment Corp,Unnamed Buyer,MHR Fund Management LLC</t>
  </si>
  <si>
    <t>KoNo Enterprises LLC</t>
  </si>
  <si>
    <t>SMS Audio LLC</t>
  </si>
  <si>
    <t>Garden Ridge Corp</t>
  </si>
  <si>
    <t>18 store Chain</t>
  </si>
  <si>
    <t>PowerSouth Energy Cooperative,Fox Gas LLC</t>
  </si>
  <si>
    <t>Catalyst Investors LLC (Fund: Catalyst Investors LP),Deer Management Co LLC (Fund: Besseme...</t>
  </si>
  <si>
    <t>Win-Holt Equipment Corp</t>
  </si>
  <si>
    <t>Commercial Stainless Fabricators Inc</t>
  </si>
  <si>
    <t>Gores Group LLC/The</t>
  </si>
  <si>
    <t>Global Mexx Business</t>
  </si>
  <si>
    <t>United Treatment Centers Inc</t>
  </si>
  <si>
    <t>Nature's Instincts Inc</t>
  </si>
  <si>
    <t>Stinker Stores Inc</t>
  </si>
  <si>
    <t>14 Albertsons Fuel Centers/ID</t>
  </si>
  <si>
    <t>27 Jewel-Osco Fuel Centers</t>
  </si>
  <si>
    <t>Holiday Stationstores Inc</t>
  </si>
  <si>
    <t>15 Fuel Centers/MN</t>
  </si>
  <si>
    <t>Nutri-Vet LLC</t>
  </si>
  <si>
    <t>Panvidea Inc</t>
  </si>
  <si>
    <t>Blow Me Away Media Corp</t>
  </si>
  <si>
    <t>Anthos Capital LP,Apex Venture Partners (Fund: Apex Investment Fund VI LP),US Venture Part...</t>
  </si>
  <si>
    <t>Trunk Club Inc</t>
  </si>
  <si>
    <t>Seven Peaks</t>
  </si>
  <si>
    <t>CityDeals Sales &amp; Services LLC</t>
  </si>
  <si>
    <t>Spectrum Equity Investors LP (Fund: Spectrum Equity Investors V LP),Crossroads Media Inc</t>
  </si>
  <si>
    <t>Bertelsmann SE &amp; Co KGaA,KKR &amp; Co LP (Fund: KKR 2006 Fund LP)</t>
  </si>
  <si>
    <t>Bug Holdings Inc</t>
  </si>
  <si>
    <t>OneRiot Inc</t>
  </si>
  <si>
    <t>SkiReport.com</t>
  </si>
  <si>
    <t>Powermat USA LLC</t>
  </si>
  <si>
    <t>Petrosun Inc</t>
  </si>
  <si>
    <t>28 Retail Locations in Western US</t>
  </si>
  <si>
    <t>Investcorp Bank BSC</t>
  </si>
  <si>
    <t>Sur La Table Inc</t>
  </si>
  <si>
    <t>St Louis Galleria mall</t>
  </si>
  <si>
    <t>General Growth Properties Inc,Canada Pension Plan Investment Board</t>
  </si>
  <si>
    <t>Plaza Frontenac</t>
  </si>
  <si>
    <t>Carpathian Resources Ltd</t>
  </si>
  <si>
    <t>USA Petrol Stations and Convenience Stores</t>
  </si>
  <si>
    <t>Golden Gaming LLC</t>
  </si>
  <si>
    <t>ETT Slot Route and Pahrump Casinos</t>
  </si>
  <si>
    <t>Economy Propane Inc</t>
  </si>
  <si>
    <t>Big Three Restaurants Inc</t>
  </si>
  <si>
    <t>Bobby V's Original Westshore Pizza LLC</t>
  </si>
  <si>
    <t>Philly Westshore Franchising Enterprises Inc</t>
  </si>
  <si>
    <t>LJS Partners LLC</t>
  </si>
  <si>
    <t>Long John Silvers Inc</t>
  </si>
  <si>
    <t>JETT Gaming LLC</t>
  </si>
  <si>
    <t>Searchlight &amp; Terrible Herbst Convenience Store Slot Operations</t>
  </si>
  <si>
    <t>A Great American Brand LLC</t>
  </si>
  <si>
    <t>A&amp;W Restaurants Inc</t>
  </si>
  <si>
    <t>Christian's Mattress Xpress</t>
  </si>
  <si>
    <t>Saul Centers Inc</t>
  </si>
  <si>
    <t>Three Shopping Centers</t>
  </si>
  <si>
    <t>Squaw Valley Ski Corp</t>
  </si>
  <si>
    <t>TheraCom LLC</t>
  </si>
  <si>
    <t>Revelry Brands</t>
  </si>
  <si>
    <t>Only Natural Pet Store LLC</t>
  </si>
  <si>
    <t>CySolutions Inc</t>
  </si>
  <si>
    <t>Greenway Medical Technologies</t>
  </si>
  <si>
    <t>Technology assets of CySolutions</t>
  </si>
  <si>
    <t>Table Game Assets</t>
  </si>
  <si>
    <t>Riviera Holdings Corp</t>
  </si>
  <si>
    <t>Monarch Black Hawk Inc</t>
  </si>
  <si>
    <t>Rhapsody International Inc</t>
  </si>
  <si>
    <t>DinePrivate.com</t>
  </si>
  <si>
    <t>Sbar's Inc</t>
  </si>
  <si>
    <t>AC Moore Arts &amp; Crafts Inc</t>
  </si>
  <si>
    <t>DS Healthcare Group Inc</t>
  </si>
  <si>
    <t>Project Hollywood LLC</t>
  </si>
  <si>
    <t>Expanko Inc</t>
  </si>
  <si>
    <t>FritzTile</t>
  </si>
  <si>
    <t>Kaloca Holdings Inc</t>
  </si>
  <si>
    <t>PBS Holdings Inc</t>
  </si>
  <si>
    <t>Global Trading Group Inc</t>
  </si>
  <si>
    <t>Canada Pension Plan Investment Board,Ares Management LLC (Fund: Ares Corporate Opportuniti...</t>
  </si>
  <si>
    <t>99 Cents Only Stores</t>
  </si>
  <si>
    <t>GPI TX-HGM Inc</t>
  </si>
  <si>
    <t>New England Building Materials</t>
  </si>
  <si>
    <t>3 building material stores</t>
  </si>
  <si>
    <t>Dana Buchman Brand</t>
  </si>
  <si>
    <t>Eddie V's Restaurant Inc</t>
  </si>
  <si>
    <t>Eddie V's Prime Seafood,Eddie V's Wildfish Seafood Grille</t>
  </si>
  <si>
    <t>Liz Claiborne and Monet Brands</t>
  </si>
  <si>
    <t>Bluestar Alliance LLC</t>
  </si>
  <si>
    <t>Kensie Brands</t>
  </si>
  <si>
    <t>17 Applebee's restaurants</t>
  </si>
  <si>
    <t>King of the Grill Inc</t>
  </si>
  <si>
    <t>STORE Capital Corp</t>
  </si>
  <si>
    <t>50 O'Charleys Restaurants</t>
  </si>
  <si>
    <t>SB Capital Group LLC</t>
  </si>
  <si>
    <t>15 JCPenney Outlet Stores</t>
  </si>
  <si>
    <t>Romanson Co Ltd</t>
  </si>
  <si>
    <t>J Estina Inc</t>
  </si>
  <si>
    <t>Propane operations</t>
  </si>
  <si>
    <t>Cash Converters International Ltd</t>
  </si>
  <si>
    <t>US Stores and Franchise Rights</t>
  </si>
  <si>
    <t>AG Trucano Son &amp; Grandsons Inc</t>
  </si>
  <si>
    <t>Premier Exhibitions Inc</t>
  </si>
  <si>
    <t>Titanic-themed Exhibition</t>
  </si>
  <si>
    <t>ole Production Music LLC</t>
  </si>
  <si>
    <t>MusicBox Inc</t>
  </si>
  <si>
    <t>Federal Petroleum Co</t>
  </si>
  <si>
    <t>Ntp Distribution Inc</t>
  </si>
  <si>
    <t>Unnamed Buyer,JMI Management Inc (Fund: JMI Equity Fund VII LP)</t>
  </si>
  <si>
    <t>CouponCabin LLC</t>
  </si>
  <si>
    <t>Mountain Mudd Espresso</t>
  </si>
  <si>
    <t>PJP Coffee Enterprises Inc</t>
  </si>
  <si>
    <t>Mountain Mudd Stores</t>
  </si>
  <si>
    <t>Cafe International LLC</t>
  </si>
  <si>
    <t>Kajima Corp</t>
  </si>
  <si>
    <t>Fuji Corp/Miyagi</t>
  </si>
  <si>
    <t>Pacific Monarch Resorts Inc</t>
  </si>
  <si>
    <t>Diamond Resorts Parent LLC</t>
  </si>
  <si>
    <t>Assets of Pacific Monarch Resorts</t>
  </si>
  <si>
    <t>Adobe Systems Inc,Unnamed Buyer,GameStop Corp,London Venture Partners LLP,Endeavour Ventures</t>
  </si>
  <si>
    <t>PlayJam Ltd</t>
  </si>
  <si>
    <t>Sharper Image Brand and Intellectual Property Assets/The</t>
  </si>
  <si>
    <t>LifeGen Technologies LLC</t>
  </si>
  <si>
    <t>Mattress Outlet,America's Mattress</t>
  </si>
  <si>
    <t>Professional Veterinary Products Ltd</t>
  </si>
  <si>
    <t>Corporate Headquarters and Warehouse Facility/Omaha</t>
  </si>
  <si>
    <t>2 Propane Storage Caverns</t>
  </si>
  <si>
    <t>Pivot Interiors Inc</t>
  </si>
  <si>
    <t>Workplace Resource LLC</t>
  </si>
  <si>
    <t>National Presto Industries Inc</t>
  </si>
  <si>
    <t>Als Technologies Inc</t>
  </si>
  <si>
    <t>BuyWithMe Inc</t>
  </si>
  <si>
    <t>Ophthonix Inc</t>
  </si>
  <si>
    <t>Recordare LLC</t>
  </si>
  <si>
    <t>MakeMusic Inc</t>
  </si>
  <si>
    <t>MusicXML &amp; Dolet Software Technology</t>
  </si>
  <si>
    <t>Sycamore Partners LLC</t>
  </si>
  <si>
    <t>Mast Global Fashions</t>
  </si>
  <si>
    <t>CenterPoint Energy Inc</t>
  </si>
  <si>
    <t>Asgard Energy LLC</t>
  </si>
  <si>
    <t>Bueno of California Inc</t>
  </si>
  <si>
    <t>Treesje</t>
  </si>
  <si>
    <t>WE Bassett Co/The</t>
  </si>
  <si>
    <t>Restaurant Entertainment Inc</t>
  </si>
  <si>
    <t>CR Minneapolis LLC</t>
  </si>
  <si>
    <t>Williams-Sonoma Inc</t>
  </si>
  <si>
    <t>Rejuvenation Inc</t>
  </si>
  <si>
    <t>Cadillac Ranch All American Bar &amp; Grill Assets</t>
  </si>
  <si>
    <t>Cardstore Inc</t>
  </si>
  <si>
    <t>BarristerBooks Inc</t>
  </si>
  <si>
    <t>LawBooksForLess LLC</t>
  </si>
  <si>
    <t>TD Funding LP,Columbia Capital LLC,Volition Capital LLC</t>
  </si>
  <si>
    <t>mindSHIFT Technologies Inc</t>
  </si>
  <si>
    <t>Music Assets of David Michery</t>
  </si>
  <si>
    <t>15 Pawn Stores</t>
  </si>
  <si>
    <t>Carphone Warehouse Group PLC</t>
  </si>
  <si>
    <t>Best Buy Mobile Profit Share Interest</t>
  </si>
  <si>
    <t>Peggy Knight Solutions</t>
  </si>
  <si>
    <t>FOLLEA Inc</t>
  </si>
  <si>
    <t>Peggy Knight Wig Assets</t>
  </si>
  <si>
    <t>Export Development Canada,Business Development Bank of Canada,Highland Capital Partners,Pa...</t>
  </si>
  <si>
    <t>Injured Workers Pharmacy LLC</t>
  </si>
  <si>
    <t>HMR Acquisition Co Inc</t>
  </si>
  <si>
    <t>Evolution Fresh Inc</t>
  </si>
  <si>
    <t>Pacific Bioscience Laboratories Inc</t>
  </si>
  <si>
    <t>M1 Gaming Reno LLC,SJP Reno Property LLC</t>
  </si>
  <si>
    <t>Boomtown Hotel and Casino/The</t>
  </si>
  <si>
    <t>World Famous Pizza Co Ltd</t>
  </si>
  <si>
    <t>Figaro's Italian Pizza Inc</t>
  </si>
  <si>
    <t>Nick-N-Willy's Pizza Business Assets</t>
  </si>
  <si>
    <t>15 Franchised Buffalo Wild Wings Units</t>
  </si>
  <si>
    <t>Emotion Kayaks Inc</t>
  </si>
  <si>
    <t>Lifetime Products Inc</t>
  </si>
  <si>
    <t>Essilor International SA</t>
  </si>
  <si>
    <t>Baker Bros American Deli</t>
  </si>
  <si>
    <t>NX Global Inc</t>
  </si>
  <si>
    <t>Eastern Energy &amp; Emissions Solutions Inc</t>
  </si>
  <si>
    <t>Polar Gas Co</t>
  </si>
  <si>
    <t>Rehab Specialists California LLC</t>
  </si>
  <si>
    <t>Complex Mobility System</t>
  </si>
  <si>
    <t>Dallas Stars LP</t>
  </si>
  <si>
    <t>Victory Park Capital Advisors LLC</t>
  </si>
  <si>
    <t>Giordano's Enterprises Inc</t>
  </si>
  <si>
    <t>Highland Capital Partners (Fund: Highland Consumer Fund I LP),JH Partners LLC (Fund: JH In...</t>
  </si>
  <si>
    <t>J McLaughlin</t>
  </si>
  <si>
    <t>Compass Group PLC</t>
  </si>
  <si>
    <t>AEG Facilities Inc</t>
  </si>
  <si>
    <t>Squitter Electronics Inc</t>
  </si>
  <si>
    <t>Texas Oil &amp; Gas PLC</t>
  </si>
  <si>
    <t>GI-Link</t>
  </si>
  <si>
    <t>Kettleman Bagels &amp; Bakery Inc</t>
  </si>
  <si>
    <t>Cass County Butane Co Inc</t>
  </si>
  <si>
    <t>G Investments LLC</t>
  </si>
  <si>
    <t>Nufarm Ltd/Australia</t>
  </si>
  <si>
    <t>Seeds 2000 Inc</t>
  </si>
  <si>
    <t>Schaff Piano Supply Co</t>
  </si>
  <si>
    <t>Pianophile Inc</t>
  </si>
  <si>
    <t>Stanton Group/The</t>
  </si>
  <si>
    <t>Music Platform Assets</t>
  </si>
  <si>
    <t>Pinnacle Rehab Solutions</t>
  </si>
  <si>
    <t>Complex Mobility Business</t>
  </si>
  <si>
    <t>Eastern Warehouse Distributors Inc</t>
  </si>
  <si>
    <t>South Jersey Auto Supply</t>
  </si>
  <si>
    <t>PUR Water Purification Products Inc</t>
  </si>
  <si>
    <t>PUR Assets &amp; Trademark</t>
  </si>
  <si>
    <t>Hammond Kennedy Whitney &amp; Co Inc</t>
  </si>
  <si>
    <t>Spectrum Brands Holdings Inc</t>
  </si>
  <si>
    <t>FURminator Inc</t>
  </si>
  <si>
    <t>Martha Stewart Living Omnimedia Inc</t>
  </si>
  <si>
    <t>Potts Gaming LLC</t>
  </si>
  <si>
    <t>Lodge at Belmont/The</t>
  </si>
  <si>
    <t>Pizza Hut/Ohio</t>
  </si>
  <si>
    <t>PRIMA Cinema Inc</t>
  </si>
  <si>
    <t>Management Group,Freeman Spogli &amp; Co Inc (Fund: FS Equity Partners VI LP)</t>
  </si>
  <si>
    <t>Boot Barn Inc</t>
  </si>
  <si>
    <t>US Stock Transfer Corp</t>
  </si>
  <si>
    <t>Netpulse Inc</t>
  </si>
  <si>
    <t>Virtual Active</t>
  </si>
  <si>
    <t>Tuber Luber,Tri-City Fast Lube</t>
  </si>
  <si>
    <t>18 Auto Shops</t>
  </si>
  <si>
    <t>West Texas Peterbilt Inc</t>
  </si>
  <si>
    <t>Fertitta Morton's Restaurants Inc</t>
  </si>
  <si>
    <t>Morton's Restaurant Group Inc</t>
  </si>
  <si>
    <t>CW Rod Tool Co Inc</t>
  </si>
  <si>
    <t>DXP Enterprises Inc</t>
  </si>
  <si>
    <t>Carousel Capital Co LLC</t>
  </si>
  <si>
    <t>Garritan Corp</t>
  </si>
  <si>
    <t>Deutsche Telekom AG,Private Investor,Kleiner Perkins Caufield &amp; Byers (Fund: KPCB Digital ...</t>
  </si>
  <si>
    <t>Imagine Print Solutions Inc</t>
  </si>
  <si>
    <t>Digigraphics Inc</t>
  </si>
  <si>
    <t>BAE Systems PLC</t>
  </si>
  <si>
    <t>Takata Corp</t>
  </si>
  <si>
    <t>BAE Systems Safety Products Inc,Schroth Safety Products GmbH</t>
  </si>
  <si>
    <t>Avex Group Holdings Inc</t>
  </si>
  <si>
    <t>BZ Clarity Holdings Llc</t>
  </si>
  <si>
    <t>Allied Trade Group Inc</t>
  </si>
  <si>
    <t>3 Cadillac Ranch Restaurants &amp; Certain Intellectual Property</t>
  </si>
  <si>
    <t>Pamida Holdings Corp</t>
  </si>
  <si>
    <t>Small Society</t>
  </si>
  <si>
    <t>Onkyo Corp</t>
  </si>
  <si>
    <t>Onkyo USA Corp</t>
  </si>
  <si>
    <t>Mamas Direct Inc</t>
  </si>
  <si>
    <t>XRX International Entertainment Holding Group</t>
  </si>
  <si>
    <t>Ameriscott Homes Inc</t>
  </si>
  <si>
    <t>Rio Grande Valley Gas Inc</t>
  </si>
  <si>
    <t>Generate Content LLC</t>
  </si>
  <si>
    <t>DW Pumps LLC</t>
  </si>
  <si>
    <t>ShopKo Stores Operating Co LLC</t>
  </si>
  <si>
    <t>Pamida Stores Operating Co LLC</t>
  </si>
  <si>
    <t>Sleep Inc</t>
  </si>
  <si>
    <t>Health Net Inc/CA</t>
  </si>
  <si>
    <t>Medicare Prescription Drug Plan</t>
  </si>
  <si>
    <t>St James Films LLC</t>
  </si>
  <si>
    <t>Franchisee/Northeast Pennsylvania</t>
  </si>
  <si>
    <t>HopBet Inc</t>
  </si>
  <si>
    <t>Fire Bet</t>
  </si>
  <si>
    <t>Fossil Group Inc</t>
  </si>
  <si>
    <t>Skagen Designs Ltd</t>
  </si>
  <si>
    <t>Texas Gulf Energy Inc</t>
  </si>
  <si>
    <t>International Plant Services LLC</t>
  </si>
  <si>
    <t>Visual Pak Co</t>
  </si>
  <si>
    <t>Cosmetic Labs of America</t>
  </si>
  <si>
    <t>Apple Core Enterprises Inc</t>
  </si>
  <si>
    <t>Double Down Interactive LLC</t>
  </si>
  <si>
    <t>Jones &amp; Frank Corp</t>
  </si>
  <si>
    <t>D&amp;L Petroleum Service and Maintenance LLC</t>
  </si>
  <si>
    <t>Fresh Produce Holdings LLC</t>
  </si>
  <si>
    <t>Brogan Partners</t>
  </si>
  <si>
    <t>Webber Energy Fuels Inc</t>
  </si>
  <si>
    <t>Home Heating Division</t>
  </si>
  <si>
    <t>Summit Entertainment LLC</t>
  </si>
  <si>
    <t>Concord International Inc</t>
  </si>
  <si>
    <t>Taylor Petroleum Co</t>
  </si>
  <si>
    <t>63 Taylor Food Mart Stores</t>
  </si>
  <si>
    <t>Bosselman Travel Centers Inc</t>
  </si>
  <si>
    <t>Pilot Flying J Inc</t>
  </si>
  <si>
    <t>7 Travel Centers in the Midwest</t>
  </si>
  <si>
    <t>2251803 Ontario Ltd</t>
  </si>
  <si>
    <t>1st Money Centers Inc</t>
  </si>
  <si>
    <t>14 Financial Services Stores</t>
  </si>
  <si>
    <t>Pouschine Cook Capital Management LLC</t>
  </si>
  <si>
    <t>Dessange International SA</t>
  </si>
  <si>
    <t>Fantastic Sams Holding Corp</t>
  </si>
  <si>
    <t>China National Aviation Fuel Group Corp</t>
  </si>
  <si>
    <t>China Aviation Oil Singapore Corp Ltd</t>
  </si>
  <si>
    <t>North American business operaions,Hong Kong business operations</t>
  </si>
  <si>
    <t>FuelStream Inc</t>
  </si>
  <si>
    <t>Aviation Fuel International Inc</t>
  </si>
  <si>
    <t>Rod East Volkswagen Inc</t>
  </si>
  <si>
    <t>SAC Capital Advisors LP,Z Capital Partners LLC</t>
  </si>
  <si>
    <t>Neways Enterprises</t>
  </si>
  <si>
    <t>Texas Gulf Oil &amp; Gas Inc/Old</t>
  </si>
  <si>
    <t>Damas Jewellery LLC</t>
  </si>
  <si>
    <t>Ladbrokes PLC</t>
  </si>
  <si>
    <t>Stadium Technology Group</t>
  </si>
  <si>
    <t>Red Beacon Inc</t>
  </si>
  <si>
    <t>Yucaipa Cos LLC/The</t>
  </si>
  <si>
    <t>CCMP Capital Advisors LLC (Fund: JP Morgan Partners Global Investors LP),Unitas Capital Pt...</t>
  </si>
  <si>
    <t>Avenue Capital Group LLC</t>
  </si>
  <si>
    <t>Barloworld Handling LP</t>
  </si>
  <si>
    <t>LiftOne LLC</t>
  </si>
  <si>
    <t>Hyster Lift Assets</t>
  </si>
  <si>
    <t>Axum Capital Partners</t>
  </si>
  <si>
    <t>Wings Over America Inc</t>
  </si>
  <si>
    <t>Hilton Head BMW</t>
  </si>
  <si>
    <t>Parsons Ventures Inc</t>
  </si>
  <si>
    <t>C&amp;T Equipment Co Inc</t>
  </si>
  <si>
    <t>Archive Systems Inc</t>
  </si>
  <si>
    <t>Professional Records Management/GA</t>
  </si>
  <si>
    <t>Sam's Mart LLC</t>
  </si>
  <si>
    <t>55 Stores</t>
  </si>
  <si>
    <t>Diamond Sports and Entertainment Inc</t>
  </si>
  <si>
    <t>Cannabusiness Group Inc</t>
  </si>
  <si>
    <t>Yuma Scorpions/The</t>
  </si>
  <si>
    <t>Alexis Bittar Inc</t>
  </si>
  <si>
    <t>Pinnacle Propane LLC</t>
  </si>
  <si>
    <t>Bill Smith Butane Co</t>
  </si>
  <si>
    <t>Core Resource Management Inc</t>
  </si>
  <si>
    <t>Tenex Health Inc</t>
  </si>
  <si>
    <t>1993 FB Partners Ltd</t>
  </si>
  <si>
    <t>Quartermaster Inc</t>
  </si>
  <si>
    <t>Dillard's Inc,Noro-Moseley Partners,BLH Venture Partners,Gravity Fund,Arkansas Risk Capita...</t>
  </si>
  <si>
    <t>Acumen Brands Inc</t>
  </si>
  <si>
    <t>OMNIMAX Theatre</t>
  </si>
  <si>
    <t>BioScrip Inc</t>
  </si>
  <si>
    <t>Community and mail service specialty pharmacies business</t>
  </si>
  <si>
    <t>Paskal Lighting</t>
  </si>
  <si>
    <t>Ferndale Healthcare Inc</t>
  </si>
  <si>
    <t>Mission Pharmacal Co</t>
  </si>
  <si>
    <t>Eletone Cream</t>
  </si>
  <si>
    <t>Proxima-RF Technology Holding Corp</t>
  </si>
  <si>
    <t>Entertainment Line of Business</t>
  </si>
  <si>
    <t>Verizon Communications Inc</t>
  </si>
  <si>
    <t>Fidelity National Financial Inc</t>
  </si>
  <si>
    <t>16 Bakery-Cafes</t>
  </si>
  <si>
    <t>Fishbone Solutions Ltd</t>
  </si>
  <si>
    <t>A-Shine Inc</t>
  </si>
  <si>
    <t>Bossier Casino Venture Holdco Inc</t>
  </si>
  <si>
    <t>Grand Palais Riverboat Inc</t>
  </si>
  <si>
    <t>Plexus Capital</t>
  </si>
  <si>
    <t>Jacob Ash Holdings Inc</t>
  </si>
  <si>
    <t>Bluff Media</t>
  </si>
  <si>
    <t>Rohto Pharmaceutical Co Ltd</t>
  </si>
  <si>
    <t>Peninsula Skincare Labs Inc</t>
  </si>
  <si>
    <t>Kellogg Co</t>
  </si>
  <si>
    <t>Pringles Business</t>
  </si>
  <si>
    <t>GSR Ventures (Fund: GSR Ventures IV LP),Phoenix Ventures Partners</t>
  </si>
  <si>
    <t>C3Nano Inc</t>
  </si>
  <si>
    <t>First Coast Energy LLP</t>
  </si>
  <si>
    <t>11 Retail Locations</t>
  </si>
  <si>
    <t>Fox Restaurant Concepts LLC</t>
  </si>
  <si>
    <t>True Food Kitchen</t>
  </si>
  <si>
    <t>Grupo Elektra SAB DE CV</t>
  </si>
  <si>
    <t>Advance America Cash Advance Centers Inc</t>
  </si>
  <si>
    <t>Central Specialties Ltd</t>
  </si>
  <si>
    <t>Macquarie Group Ltd</t>
  </si>
  <si>
    <t>Private Investor,Jesta Group</t>
  </si>
  <si>
    <t>Latzur Ltd</t>
  </si>
  <si>
    <t>KCS International Inc</t>
  </si>
  <si>
    <t>Azure Boat Co</t>
  </si>
  <si>
    <t>Talbott Teas LLC</t>
  </si>
  <si>
    <t>36 Pizza Hut Units</t>
  </si>
  <si>
    <t>Bay State Ventures,Cape Cod Ventures</t>
  </si>
  <si>
    <t>10 Jiffy Lube Locations</t>
  </si>
  <si>
    <t>Kirkwood Mountain Resort</t>
  </si>
  <si>
    <t>European Imports Ltd</t>
  </si>
  <si>
    <t>Chiligaming Ltd</t>
  </si>
  <si>
    <t>Sears Stores</t>
  </si>
  <si>
    <t>Western Petroleum Inc</t>
  </si>
  <si>
    <t>QVC Inc</t>
  </si>
  <si>
    <t>Send the Trend Inc</t>
  </si>
  <si>
    <t>Eos Partners LP</t>
  </si>
  <si>
    <t>Key Impact Sales &amp; Systems Inc</t>
  </si>
  <si>
    <t>Addy Entertainment LLC</t>
  </si>
  <si>
    <t>Evitts Resort LLC</t>
  </si>
  <si>
    <t>Pfizer Inc</t>
  </si>
  <si>
    <t>Alacer Corp</t>
  </si>
  <si>
    <t>Full House Resorts Inc,RAM Entertainment LLC</t>
  </si>
  <si>
    <t>FireKeepers Development Authority</t>
  </si>
  <si>
    <t>FireKeepers Management Agreement</t>
  </si>
  <si>
    <t>Suffolk Lube Centers Inc</t>
  </si>
  <si>
    <t>12 Jiffy Lube Locations</t>
  </si>
  <si>
    <t>Kering,Private Investor,Allen &amp; Co LLC,General Catalyst Partners (Fund: General Catalyst G...</t>
  </si>
  <si>
    <t>Thing Daemon Inc</t>
  </si>
  <si>
    <t>Paulson &amp; Winthrop Realty</t>
  </si>
  <si>
    <t>Trump Organization Inc</t>
  </si>
  <si>
    <t>Doral Golf Resort &amp; Spa</t>
  </si>
  <si>
    <t>Coral Eurobet Ltd,Hercules Technology Growth Capital Inc,Hatteras Venture Partners,Draper ...</t>
  </si>
  <si>
    <t>SugarSync Inc</t>
  </si>
  <si>
    <t>Kenilworth Systems Corp</t>
  </si>
  <si>
    <t>Phortner Pty Ltd</t>
  </si>
  <si>
    <t>Isolation Network Inc</t>
  </si>
  <si>
    <t>Fontana Distribution Inc</t>
  </si>
  <si>
    <t>Bob Ridge Toyota Scion of Renton</t>
  </si>
  <si>
    <t>BHMS Investments LP</t>
  </si>
  <si>
    <t>Osmotics Corp</t>
  </si>
  <si>
    <t>Lebanon Trotting Club,Miami Valley Trotting Inc</t>
  </si>
  <si>
    <t>Churchill Downs Inc,Delaware North Cos Inc</t>
  </si>
  <si>
    <t>Lebanon Raceway</t>
  </si>
  <si>
    <t>Noah's Ark Water Park</t>
  </si>
  <si>
    <t>Sanoma Corp</t>
  </si>
  <si>
    <t>Reitan Convenience AS</t>
  </si>
  <si>
    <t>Kiosk operations in several locations,Press distribution operations in several locations</t>
  </si>
  <si>
    <t>Fertitta Entertainment Inc</t>
  </si>
  <si>
    <t>Riverboat Corp Of Mississippi</t>
  </si>
  <si>
    <t>Kisstixx LLC</t>
  </si>
  <si>
    <t>Rosser Capital Partners</t>
  </si>
  <si>
    <t>Barteca Holdings LLC</t>
  </si>
  <si>
    <t>Dyrdek Enterprises Inc</t>
  </si>
  <si>
    <t>Burton Corp/The</t>
  </si>
  <si>
    <t>Krueger GmbH &amp; Co KG</t>
  </si>
  <si>
    <t>Boca Dive Center Inc</t>
  </si>
  <si>
    <t>Brownie's Marine Group Inc</t>
  </si>
  <si>
    <t>Golden Corral Corp</t>
  </si>
  <si>
    <t>Frisch's Restaurants Inc</t>
  </si>
  <si>
    <t>H&amp;Q Asia Pacific Inc,Oaktree Capital Group LLC (Fund: Oaktree Real Estate Opportunities Fu...</t>
  </si>
  <si>
    <t>Dancing Bear Aspen</t>
  </si>
  <si>
    <t>Alere Inc</t>
  </si>
  <si>
    <t>AmMed Direct LLC</t>
  </si>
  <si>
    <t>Vivendi Entertainment</t>
  </si>
  <si>
    <t>G Asset Management LLC</t>
  </si>
  <si>
    <t>College Bookstore Business</t>
  </si>
  <si>
    <t>New Chapter Inc</t>
  </si>
  <si>
    <t>Frontier Developments PLC</t>
  </si>
  <si>
    <t>Cervus Equipment Corp</t>
  </si>
  <si>
    <t>Certain properties/Canada</t>
  </si>
  <si>
    <t>China National Radio</t>
  </si>
  <si>
    <t>Golden County Foods Inc</t>
  </si>
  <si>
    <t>Progressive Gourmet Inc</t>
  </si>
  <si>
    <t>Rebecca Minkoff LLC</t>
  </si>
  <si>
    <t>Port Royal Holdings</t>
  </si>
  <si>
    <t>Krystal Co/The</t>
  </si>
  <si>
    <t>NEP Inc</t>
  </si>
  <si>
    <t>Trio Video LLC</t>
  </si>
  <si>
    <t>George Patton Associates Inc</t>
  </si>
  <si>
    <t>2XU Pty Ltd</t>
  </si>
  <si>
    <t>Sports Multiplied LLC</t>
  </si>
  <si>
    <t>278 Burger King stores</t>
  </si>
  <si>
    <t>Primesource Foodservice Equipment Inc</t>
  </si>
  <si>
    <t>Unified Foodservice Purchasing Co-op LLC</t>
  </si>
  <si>
    <t>Specific business segments</t>
  </si>
  <si>
    <t>Guggenheim Baseball Management LLC</t>
  </si>
  <si>
    <t>Los Angeles Dodgers Holding Co LLC</t>
  </si>
  <si>
    <t>Private Investor,Goldman Sachs Capital Partners (Fund: GS Capital Partners V LP),Clarus Ve...</t>
  </si>
  <si>
    <t>Spirit EMX LLC</t>
  </si>
  <si>
    <t>GPI KS-SH Inc</t>
  </si>
  <si>
    <t>Management Group,Levine Leichtman Capital Partners Inc (Fund: Levine Leichtman Capital Par...</t>
  </si>
  <si>
    <t>HSN Inc</t>
  </si>
  <si>
    <t>Chasing Fireflies LLC</t>
  </si>
  <si>
    <t>Almatis Inc</t>
  </si>
  <si>
    <t>JM Huber Corp</t>
  </si>
  <si>
    <t>Hydrate flame retardant business</t>
  </si>
  <si>
    <t>RLJ Entertainment Inc</t>
  </si>
  <si>
    <t>Image Entertainment Inc,Acorn Media Group Inc</t>
  </si>
  <si>
    <t>Coast brand</t>
  </si>
  <si>
    <t>Silver Slipper Casino Venture LLC</t>
  </si>
  <si>
    <t>Full House Resorts Inc</t>
  </si>
  <si>
    <t>Silver Slipper Casino/Hancock County</t>
  </si>
  <si>
    <t>LA Looks Dep Sport Zero Frizz Thicker Fuller Hair Soft Dri &amp; Pure Natural Brand</t>
  </si>
  <si>
    <t>Calera Capital</t>
  </si>
  <si>
    <t>Justice Holdings Ltd</t>
  </si>
  <si>
    <t>IdentiSys Inc</t>
  </si>
  <si>
    <t>Capital Card Systems Inc</t>
  </si>
  <si>
    <t>SquareTrade Inc</t>
  </si>
  <si>
    <t>Direct Brands Inc</t>
  </si>
  <si>
    <t>Callaway Golf Co</t>
  </si>
  <si>
    <t>Top-Flite assets &amp; brands</t>
  </si>
  <si>
    <t>Orange County Flyers</t>
  </si>
  <si>
    <t>Deep South Capital LLC</t>
  </si>
  <si>
    <t>Mattress Firm Holding Corp</t>
  </si>
  <si>
    <t>Morgan Stanley Investment Management Inc,Private Investor,Tomorrow Ventures LLC,Accel Part...</t>
  </si>
  <si>
    <t>Legend Pictures LLC</t>
  </si>
  <si>
    <t>Granite Equity Partners</t>
  </si>
  <si>
    <t>Boathouse Capital,Renovus Capital Partners</t>
  </si>
  <si>
    <t>Atomic Learning Inc</t>
  </si>
  <si>
    <t>Stillwater Public Schools</t>
  </si>
  <si>
    <t>Cimarron Plaza Shopping Center</t>
  </si>
  <si>
    <t>Unnamed Buyer,Source Capital LLC</t>
  </si>
  <si>
    <t>Nordstrom Inc,LightSpeed Venture Partners (Fund: Lightspeed Venture Partners VIII LP),Acce...</t>
  </si>
  <si>
    <t>Bonobos Inc</t>
  </si>
  <si>
    <t>Top Hat 430 Inc</t>
  </si>
  <si>
    <t>National Basketball Association Inc</t>
  </si>
  <si>
    <t>Westates Theaters Inc</t>
  </si>
  <si>
    <t>Megaplex Theatres</t>
  </si>
  <si>
    <t>Eleven movie complexes</t>
  </si>
  <si>
    <t>Merrick Pet Care Inc</t>
  </si>
  <si>
    <t>Castor &amp; Pollux Natural PetWorks</t>
  </si>
  <si>
    <t>Teavana Holdings Inc</t>
  </si>
  <si>
    <t>Teaopia Ltd</t>
  </si>
  <si>
    <t>Primos Inc</t>
  </si>
  <si>
    <t>Xstelos Holdings Inc</t>
  </si>
  <si>
    <t>De'Longhi SpA</t>
  </si>
  <si>
    <t>Perpetual Licensing of Braun Brand</t>
  </si>
  <si>
    <t>Digital Cinema Destinations Corp</t>
  </si>
  <si>
    <t>Cinema Centers theatre circuit</t>
  </si>
  <si>
    <t>50 Franchised Restaurants</t>
  </si>
  <si>
    <t>AEG Live LLC</t>
  </si>
  <si>
    <t>Assets of Arts &amp; Exhibitions International</t>
  </si>
  <si>
    <t>Nationwide Marketing Group LLC</t>
  </si>
  <si>
    <t>Proguard Acquisition Corp</t>
  </si>
  <si>
    <t>Random Source Inc</t>
  </si>
  <si>
    <t>Private Investor,August Capital (Fund: August Capital V LP)</t>
  </si>
  <si>
    <t>Ditto Technologies Inc</t>
  </si>
  <si>
    <t>Retama Partners Ltd</t>
  </si>
  <si>
    <t>Inergy Propane LLC</t>
  </si>
  <si>
    <t>Private Investor,OpenAir Equity Partners</t>
  </si>
  <si>
    <t>Gift Card Impressions LLC</t>
  </si>
  <si>
    <t>Wholesome Pet Distributing</t>
  </si>
  <si>
    <t>PNC Financial Services Group Inc/The</t>
  </si>
  <si>
    <t>Chambers Chevrolet Cadillac of Bellingham</t>
  </si>
  <si>
    <t>Outerwall Inc,PI Holdings Inc,Claremont Creek Ventures,TAO Venture Capital Partners,Moore ...</t>
  </si>
  <si>
    <t>ecoATM</t>
  </si>
  <si>
    <t>Wolverine World Wide Inc,Golden Gate Capital Corp (Fund: Golden Gate Capital Investment An...</t>
  </si>
  <si>
    <t>JP Energy Partners LP</t>
  </si>
  <si>
    <t>Heritage Propane Express LLC</t>
  </si>
  <si>
    <t>Courterco Inc</t>
  </si>
  <si>
    <t>Silver Lake Management LLC</t>
  </si>
  <si>
    <t>William Morris Endeavor Entertainment LLC</t>
  </si>
  <si>
    <t>Johnstown Sports Partners LLC</t>
  </si>
  <si>
    <t>Alaska Avalanche</t>
  </si>
  <si>
    <t>SouthStar Development Partners</t>
  </si>
  <si>
    <t>Bluegreen Communities Business</t>
  </si>
  <si>
    <t>Management Group,Access Venture Partners,Generation Investment Management US LLP,Emerald T...</t>
  </si>
  <si>
    <t>TerraLUX Inc</t>
  </si>
  <si>
    <t>Dubai World Corp</t>
  </si>
  <si>
    <t>Perry Capital LLC,Yucaipa Cos LLC/The (Fund: Yucaipa American Alliance Fund II LP)</t>
  </si>
  <si>
    <t>Harrah's St Louis</t>
  </si>
  <si>
    <t>Cost Plus Inc</t>
  </si>
  <si>
    <t>Sports Capital Partners</t>
  </si>
  <si>
    <t>St Louis Blues Hockey Club LP</t>
  </si>
  <si>
    <t>MGT Capital Investments Inc</t>
  </si>
  <si>
    <t>MGT Gaming Inc</t>
  </si>
  <si>
    <t>Private Investor,500 Startups (Fund: 500 Startups II LP)</t>
  </si>
  <si>
    <t>Senzari Inc</t>
  </si>
  <si>
    <t>Lang's Pharmacy Inc</t>
  </si>
  <si>
    <t>Lang's Pharmaceutical Assets</t>
  </si>
  <si>
    <t>Grand Prix Entertainment LLC</t>
  </si>
  <si>
    <t>American National Rugby League/The</t>
  </si>
  <si>
    <t>Crestwood Midstream Partners LP</t>
  </si>
  <si>
    <t>Media Rights Capital</t>
  </si>
  <si>
    <t>Golf Town Canada Inc</t>
  </si>
  <si>
    <t>Measurecomp LLC</t>
  </si>
  <si>
    <t>Evcarco Inc</t>
  </si>
  <si>
    <t>Third Stone Corp/The</t>
  </si>
  <si>
    <t>Creative Edge Nutrition Inc</t>
  </si>
  <si>
    <t>Science Defined Nutrition Inc</t>
  </si>
  <si>
    <t>Auction Edge Inc</t>
  </si>
  <si>
    <t>Auction Pipeline Inc</t>
  </si>
  <si>
    <t>Peninsula Gaming Partners LLC</t>
  </si>
  <si>
    <t>NightCulture Inc</t>
  </si>
  <si>
    <t>Stereo Live LLC</t>
  </si>
  <si>
    <t>FleetPride Inc</t>
  </si>
  <si>
    <t>Westpac Heavy Duty Inc</t>
  </si>
  <si>
    <t>Spectrum Equity Investors LP (Fund: Spectrum Equity Investors IV LP),Carlyle Group LP/The ...</t>
  </si>
  <si>
    <t>Dalian Wanda Group Corp Ltd</t>
  </si>
  <si>
    <t>Diamond Auto Bids &amp; Disposals</t>
  </si>
  <si>
    <t>Unax Service LLC</t>
  </si>
  <si>
    <t>Gaming Business/Unax Service LLC</t>
  </si>
  <si>
    <t>StreamTrack Inc</t>
  </si>
  <si>
    <t>Watchthis.com</t>
  </si>
  <si>
    <t>RadioLoyalty Inc</t>
  </si>
  <si>
    <t>School Musical Suppliers Inc</t>
  </si>
  <si>
    <t>American Franchise Capital LLC</t>
  </si>
  <si>
    <t>33 Applebee's Operated Restaurants</t>
  </si>
  <si>
    <t>Agree Realty Corp</t>
  </si>
  <si>
    <t>Alex Lee Inc</t>
  </si>
  <si>
    <t>Performance Food Group Inc</t>
  </si>
  <si>
    <t>Institution Food House Inc</t>
  </si>
  <si>
    <t>Cadillac Ranch Restaurants Assets</t>
  </si>
  <si>
    <t>Casual Restaurant Concepts Inc</t>
  </si>
  <si>
    <t>New Wave Fragances LLC</t>
  </si>
  <si>
    <t>Ed Hardy &amp; True Religion &amp; BCBGMaxAzria fragrance brands</t>
  </si>
  <si>
    <t>Linen Holdings LLC</t>
  </si>
  <si>
    <t>Verix Inc</t>
  </si>
  <si>
    <t>Albaad USA Inc</t>
  </si>
  <si>
    <t>Personal Care Division</t>
  </si>
  <si>
    <t>Clutch &amp; Transmission Service Inc</t>
  </si>
  <si>
    <t>Volkswagen dealership/Florida</t>
  </si>
  <si>
    <t>Bay Bread LLC</t>
  </si>
  <si>
    <t>Trusthouse Services Group Inc</t>
  </si>
  <si>
    <t>Valley Services Inc</t>
  </si>
  <si>
    <t>Bluff Falls Water Park and Family Fun Center</t>
  </si>
  <si>
    <t>Berkshire Partners LLC,Weston Presidio Service Co LLC,Advent International Corp (Fund: Adv...</t>
  </si>
  <si>
    <t>ESI Entertainment Systems Inc</t>
  </si>
  <si>
    <t>Spectra Systems Corp</t>
  </si>
  <si>
    <t>Mendocino Farms LLC</t>
  </si>
  <si>
    <t>Tramec LLC</t>
  </si>
  <si>
    <t>LRG Fastener Corp</t>
  </si>
  <si>
    <t>Road Ranger LLC</t>
  </si>
  <si>
    <t>Speedway LLC</t>
  </si>
  <si>
    <t>10 Convenience Stores/Ohio &amp; Kentucky</t>
  </si>
  <si>
    <t>Gemini Gaming LLC</t>
  </si>
  <si>
    <t>Gaming Properties &amp; Interests &amp; Operations/Global Casinos Inc</t>
  </si>
  <si>
    <t>Georgia Healthcare REIT Inc</t>
  </si>
  <si>
    <t>Restaurant.com Inc</t>
  </si>
  <si>
    <t>Management Group,TPG Capital (Fund: TPG Partners VI LP),Leonard Green &amp; Partners LP (Fund:...</t>
  </si>
  <si>
    <t>Santa's Best Craft LLC</t>
  </si>
  <si>
    <t>Dyno Seasonal Solutions LLC</t>
  </si>
  <si>
    <t>Certain Christmas ornament and decoration lines</t>
  </si>
  <si>
    <t>LVMH Moet Hennessy Louis Vuitton SA,RRE Ventures,New Atlantic Ventures,New Enterprise Asso...</t>
  </si>
  <si>
    <t>AmRest Holdings SE</t>
  </si>
  <si>
    <t>AmRest LLC</t>
  </si>
  <si>
    <t>Telephone &amp; Data Systems Inc</t>
  </si>
  <si>
    <t>Vital Support Systems LLC</t>
  </si>
  <si>
    <t>Court Square Capital Partners LP</t>
  </si>
  <si>
    <t>Acosta Sales &amp; Marketing Corp</t>
  </si>
  <si>
    <t>Mosaic Sales Solutions Holding Co</t>
  </si>
  <si>
    <t>Give Back Brands</t>
  </si>
  <si>
    <t>Justin Bieber &amp; Nicki Minaj Fragrance Brands</t>
  </si>
  <si>
    <t>Viking Partners LLC</t>
  </si>
  <si>
    <t>Louisville Shopping Center</t>
  </si>
  <si>
    <t>Strasburger Enterprises Inc</t>
  </si>
  <si>
    <t>23 Convenience Stores/TX</t>
  </si>
  <si>
    <t>Surefoot LC</t>
  </si>
  <si>
    <t>Super Runners Shops of New York</t>
  </si>
  <si>
    <t>Perfect Commerce LLC</t>
  </si>
  <si>
    <t>Supply Chain Connect LLC</t>
  </si>
  <si>
    <t>Federated Heartland Inc,Federated Sports &amp; Gaming Inc</t>
  </si>
  <si>
    <t>Urai Co Ltd</t>
  </si>
  <si>
    <t>Only Corp</t>
  </si>
  <si>
    <t>Liquid Health Labs Inc</t>
  </si>
  <si>
    <t>Private Investor,KKR &amp; Co LP (Fund: KKR 2006 Fund LP),Elevation LLC,Redpoint Ventures LLC ...</t>
  </si>
  <si>
    <t>24-Store Chain</t>
  </si>
  <si>
    <t>Enhance Skin Products Inc</t>
  </si>
  <si>
    <t>Age Reversal Inc</t>
  </si>
  <si>
    <t>Private Investor,Bedrocket Media Ventures LLC,Lerer Ventures (Fund: Lerer Ventures III LP)</t>
  </si>
  <si>
    <t>VHX Corp</t>
  </si>
  <si>
    <t>Private Label Credit Card Portfolio</t>
  </si>
  <si>
    <t>UBA Enterprises</t>
  </si>
  <si>
    <t>Red Robin® franchised restaurant</t>
  </si>
  <si>
    <t>White Glove Technologies LLC</t>
  </si>
  <si>
    <t>Superior Auto Inc,SAC Finance Inc</t>
  </si>
  <si>
    <t>Quantum National Holdings LLC</t>
  </si>
  <si>
    <t>Aquatal Group Ltd</t>
  </si>
  <si>
    <t>Springs Global Participacoes SA</t>
  </si>
  <si>
    <t>Wamsutta brand</t>
  </si>
  <si>
    <t>Credit Suisse Group AG,Next World Capital,Highbridge Principal Strategies Growth Equity (F...</t>
  </si>
  <si>
    <t>ideeli Inc</t>
  </si>
  <si>
    <t>AMC Ventures Inc</t>
  </si>
  <si>
    <t>Empire Co Ltd</t>
  </si>
  <si>
    <t>2 Theatres</t>
  </si>
  <si>
    <t>Descours et Cabaud SA</t>
  </si>
  <si>
    <t>BMG Metals Inc</t>
  </si>
  <si>
    <t>Living Whole Foods Inc</t>
  </si>
  <si>
    <t>Stack &amp; Grow Planters</t>
  </si>
  <si>
    <t>18 Open Pantry Stores</t>
  </si>
  <si>
    <t>J Alexander's LLC</t>
  </si>
  <si>
    <t>Moelis &amp; Co</t>
  </si>
  <si>
    <t>5 Personal Care Brands</t>
  </si>
  <si>
    <t>Forum Enterprise Inc</t>
  </si>
  <si>
    <t>Madison Square Garden Co/The</t>
  </si>
  <si>
    <t>Forum Arena</t>
  </si>
  <si>
    <t>Episencial LLC</t>
  </si>
  <si>
    <t>Dolby Laboratories Inc</t>
  </si>
  <si>
    <t>Atlas Venture LP,Lowercase Capital LLC,William Morris Endeavor Entertainment LLC,Kleiner P...</t>
  </si>
  <si>
    <t>Namesake Inc</t>
  </si>
  <si>
    <t>CIC Partners LP</t>
  </si>
  <si>
    <t>Tappan Street Restaurant Group Inc</t>
  </si>
  <si>
    <t>Bari Cosmetics Ltd</t>
  </si>
  <si>
    <t>Pure Ice &amp; Bon Bons brands</t>
  </si>
  <si>
    <t>American Rodsmiths Inc</t>
  </si>
  <si>
    <t>Stephen L Lafrance Holdings Inc</t>
  </si>
  <si>
    <t>Regional Drugstore Chain</t>
  </si>
  <si>
    <t>Parthenon Capital LLC</t>
  </si>
  <si>
    <t>Merchant Warehouse</t>
  </si>
  <si>
    <t>ABC-Mart Inc</t>
  </si>
  <si>
    <t>LaCrosse Footwear Inc</t>
  </si>
  <si>
    <t>Aria Partners GP LLC</t>
  </si>
  <si>
    <t>Webster Capital,Ingleside Capital Co Inc (Fund: ACI Capital Investors II LP)</t>
  </si>
  <si>
    <t>Brentwood Associates Inc</t>
  </si>
  <si>
    <t>Sundance Holdings Group LLC</t>
  </si>
  <si>
    <t>Splash Down Dunes Water Park</t>
  </si>
  <si>
    <t>Coldwater Creek Inc</t>
  </si>
  <si>
    <t>SK Innovation Co Ltd</t>
  </si>
  <si>
    <t>Smoothie King Franchises Inc</t>
  </si>
  <si>
    <t>River Cities Capital Funds,Core Capital Partners LP,Hatteras Funds,Hasso Plattner Ventures...</t>
  </si>
  <si>
    <t>KnowledgeTree Inc</t>
  </si>
  <si>
    <t>Global Holdings Inc</t>
  </si>
  <si>
    <t>Smart Diet Rx Inc</t>
  </si>
  <si>
    <t>Hawkeye Foodservice Distribution Inc</t>
  </si>
  <si>
    <t>Premier Exhibition Management LLC</t>
  </si>
  <si>
    <t>Rexly Inc</t>
  </si>
  <si>
    <t>Car Charging Group Inc</t>
  </si>
  <si>
    <t>350Green LLC</t>
  </si>
  <si>
    <t>Paige Premium Denim</t>
  </si>
  <si>
    <t>Sun Pacific Energy Inc</t>
  </si>
  <si>
    <t>27 stores/WA</t>
  </si>
  <si>
    <t>Orion Equity Holdings PLC</t>
  </si>
  <si>
    <t>Assets and broadcasting agreements</t>
  </si>
  <si>
    <t>Leatherman Tool Group Inc</t>
  </si>
  <si>
    <t>PocketToolX Co</t>
  </si>
  <si>
    <t>Maxum Petroleum Holdings Inc</t>
  </si>
  <si>
    <t>Agrolimen SA</t>
  </si>
  <si>
    <t>Arbora &amp; Ausonia SL</t>
  </si>
  <si>
    <t>Simon Property Group LP</t>
  </si>
  <si>
    <t>Accel Partners (Fund: Accel X LP),Greycroft Partners LLC (Fund: Greycroft Partners II LP)</t>
  </si>
  <si>
    <t>Classic Media Holdings Inc</t>
  </si>
  <si>
    <t>Grubwithus Inc</t>
  </si>
  <si>
    <t>Social Feed Inc</t>
  </si>
  <si>
    <t>TSFR Apple Venture LLC</t>
  </si>
  <si>
    <t>65 Applebee's Restaurants</t>
  </si>
  <si>
    <t>Interface Inc</t>
  </si>
  <si>
    <t>Dominus Capital LP</t>
  </si>
  <si>
    <t>Bentley Prince Street Inc</t>
  </si>
  <si>
    <t>Active American Mobility &amp; Medical Supply Corp</t>
  </si>
  <si>
    <t>Bonded Services Group Ltd</t>
  </si>
  <si>
    <t>Inception Digital Services LLC</t>
  </si>
  <si>
    <t>Tundra Restaurant Supply</t>
  </si>
  <si>
    <t>Superior Commercial Kitchens Inc</t>
  </si>
  <si>
    <t>Trustees of Columbia University in the City of New York/The,Private Investor,Bonobos Inc,G...</t>
  </si>
  <si>
    <t>Olapic Inc</t>
  </si>
  <si>
    <t>Mr Souvlaki Ltd</t>
  </si>
  <si>
    <t>MTY Food Group Inc</t>
  </si>
  <si>
    <t>AVATAS Payment Solutions</t>
  </si>
  <si>
    <t>Midwest Brake &amp; Wheel Inc,Gille Co Inc</t>
  </si>
  <si>
    <t>Chuo Spring Co Ltd</t>
  </si>
  <si>
    <t>ACK Controls Inc</t>
  </si>
  <si>
    <t>Marco Inc</t>
  </si>
  <si>
    <t>TEL Serv Communications Inc</t>
  </si>
  <si>
    <t>Allcare Medical Snj Corp</t>
  </si>
  <si>
    <t>Assistive Technology Group Inc</t>
  </si>
  <si>
    <t>Rehabilitation technology business</t>
  </si>
  <si>
    <t>Falco Energy Transportation LLC</t>
  </si>
  <si>
    <t>JEMB Realty Corp</t>
  </si>
  <si>
    <t>Daffy's Inc</t>
  </si>
  <si>
    <t>Seven Restaurants/California</t>
  </si>
  <si>
    <t>Rocky Gap Lodge &amp; Golf Resort</t>
  </si>
  <si>
    <t>Camping World Inc</t>
  </si>
  <si>
    <t>Harberson RV</t>
  </si>
  <si>
    <t>Serent Capital</t>
  </si>
  <si>
    <t>Safety Services Inc</t>
  </si>
  <si>
    <t>Serta Simmons Holdings LLC</t>
  </si>
  <si>
    <t>Carter Energy Corp</t>
  </si>
  <si>
    <t>Motor fuel distribution busines</t>
  </si>
  <si>
    <t>PNC Capital Markets LLC,GE Antares Capital Corp,Norwest Equity Partners (Fund: Norwest Equ...</t>
  </si>
  <si>
    <t>Reichart's Camping Center Inc</t>
  </si>
  <si>
    <t>Triad Catalog Co LLC</t>
  </si>
  <si>
    <t>US Home Systems Inc</t>
  </si>
  <si>
    <t>Starbucks Corp,Rizvi Traverse Management LLC,Citi Ventures Inc</t>
  </si>
  <si>
    <t>Square Inc</t>
  </si>
  <si>
    <t>GameTech International Inc</t>
  </si>
  <si>
    <t>GameTech Arizona Corp,GameTech Canada Corp,GameTech Mexico S de RL de CV</t>
  </si>
  <si>
    <t>RCC Western Stores Inc</t>
  </si>
  <si>
    <t>Taste Inc</t>
  </si>
  <si>
    <t>Micron Technology Inc</t>
  </si>
  <si>
    <t>Display Business</t>
  </si>
  <si>
    <t>ACE Rent a Car Inc</t>
  </si>
  <si>
    <t>Florida Oil Holdings LLC</t>
  </si>
  <si>
    <t>29 Stores/Florida</t>
  </si>
  <si>
    <t>Kettle Creations LLC</t>
  </si>
  <si>
    <t>Bob Evans Farms Inc/DE</t>
  </si>
  <si>
    <t>Kettle creations brand</t>
  </si>
  <si>
    <t>Tetco Inc</t>
  </si>
  <si>
    <t>Corporate services business/Ediets</t>
  </si>
  <si>
    <t>Auracle Music Inc</t>
  </si>
  <si>
    <t>American Restaurant Concepts Inc</t>
  </si>
  <si>
    <t>US Venture Partners,Private Investor,Richmond Park Partners LLP,First Round Capital,SoftTe...</t>
  </si>
  <si>
    <t>Movieclips Inc</t>
  </si>
  <si>
    <t>Twinco Romax LLC</t>
  </si>
  <si>
    <t>DYK Automotive LLC</t>
  </si>
  <si>
    <t>Amped Fantasy LLC</t>
  </si>
  <si>
    <t>16-Store Chain</t>
  </si>
  <si>
    <t>Prima Marketing LLC</t>
  </si>
  <si>
    <t>James Grant Group Ltd</t>
  </si>
  <si>
    <t>Willoughby Sports Management Ltd</t>
  </si>
  <si>
    <t>AIDS Healthcare Foundation</t>
  </si>
  <si>
    <t>MOMS Pharmacy</t>
  </si>
  <si>
    <t>Prestige Pet Products Inc</t>
  </si>
  <si>
    <t>8 Buffalo Wild Wings units</t>
  </si>
  <si>
    <t>Cava Capital,Connecticut Innovations Inc (Fund: Connecticut Innovations' Pre-Seed Fund),Le...</t>
  </si>
  <si>
    <t>Blue Victory Holdings Inc</t>
  </si>
  <si>
    <t>BHJ USA Inc</t>
  </si>
  <si>
    <t>Protein Inc USA</t>
  </si>
  <si>
    <t>PDX Entertainment Co</t>
  </si>
  <si>
    <t>Connell Chevrolet/Killeen</t>
  </si>
  <si>
    <t>Lejeune Investment Inc</t>
  </si>
  <si>
    <t>Auto Dealerships/MN</t>
  </si>
  <si>
    <t>Eco Science Solutions Inc</t>
  </si>
  <si>
    <t>Eaton Scientific Systems Ltd</t>
  </si>
  <si>
    <t>David's Bridal Inc</t>
  </si>
  <si>
    <t>Ollie's Bargain Outlet Inc</t>
  </si>
  <si>
    <t>ArchetypeMe LLC</t>
  </si>
  <si>
    <t>Genetic Denim LLC</t>
  </si>
  <si>
    <t>Micro Electronics Inc</t>
  </si>
  <si>
    <t>Arrow Electronics Inc</t>
  </si>
  <si>
    <t>Redemtech Inc</t>
  </si>
  <si>
    <t>Capital Group Holdings Inc</t>
  </si>
  <si>
    <t>Alliance Urgent Care LLC</t>
  </si>
  <si>
    <t>Chivas USA Soccer LLC</t>
  </si>
  <si>
    <t>Grupo Comercial Chedraui SA de CV</t>
  </si>
  <si>
    <t>8 Shops/US</t>
  </si>
  <si>
    <t>Baoxin Auto Group Ltd</t>
  </si>
  <si>
    <t>NCGA Holdings Ltd</t>
  </si>
  <si>
    <t>Mandalay Entertainment Group,Guggenheim Partners LLC (Fund: Guggenheim Aviation Investment...</t>
  </si>
  <si>
    <t>New Enterprise Associates Inc</t>
  </si>
  <si>
    <t>Bedrocket Media Ventures LLC</t>
  </si>
  <si>
    <t>Capitol City Propane Inc</t>
  </si>
  <si>
    <t>Yellow Wood Partners LLC</t>
  </si>
  <si>
    <t>Parfums de Coeur Ltd</t>
  </si>
  <si>
    <t>RPM International Inc</t>
  </si>
  <si>
    <t>Kirker Enterprises Inc</t>
  </si>
  <si>
    <t>Wessels &amp; Mueller AG</t>
  </si>
  <si>
    <t>SSF Imported Auto Parts Inc</t>
  </si>
  <si>
    <t>Franchise Services of North America Inc</t>
  </si>
  <si>
    <t>Simply Wheelz LLC</t>
  </si>
  <si>
    <t>Waterloo Restaurant Ventures Inc</t>
  </si>
  <si>
    <t>Four Romano's Macaroni Grill Locations</t>
  </si>
  <si>
    <t>CSS Industries Inc</t>
  </si>
  <si>
    <t>Gemmy Industries HK Ltd</t>
  </si>
  <si>
    <t>Halloween business</t>
  </si>
  <si>
    <t>Elizabeth Arden Inc,Private Investor,JH Anderson Holdings Inc</t>
  </si>
  <si>
    <t>Red Door Spa Holdings Inc</t>
  </si>
  <si>
    <t>Truckee Gaming LLC</t>
  </si>
  <si>
    <t>Goldman Sachs Group Inc/The,6963218 Canada Inc</t>
  </si>
  <si>
    <t>Entertainment One Ltd</t>
  </si>
  <si>
    <t>Alliance Films Holdings Inc</t>
  </si>
  <si>
    <t>Glass Seating &amp; Mobility</t>
  </si>
  <si>
    <t>C&amp;A Marketing Inc</t>
  </si>
  <si>
    <t>Sam &amp; Libby</t>
  </si>
  <si>
    <t>22 Convenience Stores</t>
  </si>
  <si>
    <t>Home Service Store Inc/The</t>
  </si>
  <si>
    <t>Google Ventures,Kleiner Perkins Caufield &amp; Byers (Fund: Kleiner Perkins Caufield &amp; Byers X...</t>
  </si>
  <si>
    <t>DJZ Inc</t>
  </si>
  <si>
    <t>Perrigo Co Plc</t>
  </si>
  <si>
    <t>11 gentlemen's clubs</t>
  </si>
  <si>
    <t>Paradise Enterprises Inc</t>
  </si>
  <si>
    <t>ID Liquidation One LLC</t>
  </si>
  <si>
    <t>Pandigital Inc</t>
  </si>
  <si>
    <t>Sunglow North America Inc</t>
  </si>
  <si>
    <t>Triumph Capital Group Inc</t>
  </si>
  <si>
    <t>Music United Inc</t>
  </si>
  <si>
    <t>Fragrance West</t>
  </si>
  <si>
    <t>Monarch Fragrances LLC</t>
  </si>
  <si>
    <t>Full Access Entertainment LLC</t>
  </si>
  <si>
    <t>Cie Financiere Richemont SA</t>
  </si>
  <si>
    <t>Peter Millar LLC</t>
  </si>
  <si>
    <t>Tengram Capital Partners LLC</t>
  </si>
  <si>
    <t>Nest Fragrances LLC</t>
  </si>
  <si>
    <t>No Limits LLC</t>
  </si>
  <si>
    <t>500 Startups</t>
  </si>
  <si>
    <t>Ubooly Inc</t>
  </si>
  <si>
    <t>Reliance MediaWorks Ltd,Beijing Galloping Horse Film Co Ltd</t>
  </si>
  <si>
    <t>Digital Domain Media Group Inc</t>
  </si>
  <si>
    <t>Amaya Gaming Group Inc</t>
  </si>
  <si>
    <t>Cadillac Jack Inc</t>
  </si>
  <si>
    <t>Pioneer Equipment Rental LLC</t>
  </si>
  <si>
    <t>PlayCore Holdings LLC</t>
  </si>
  <si>
    <t>DERO Bike Rack Co</t>
  </si>
  <si>
    <t>Tandus Flooring US LLC</t>
  </si>
  <si>
    <t>Horn Oil Co Inc</t>
  </si>
  <si>
    <t>Quality Oil Co LLC</t>
  </si>
  <si>
    <t>Fuel oil business</t>
  </si>
  <si>
    <t>Markwins International Corp</t>
  </si>
  <si>
    <t>Physicians Formula Holdings Inc</t>
  </si>
  <si>
    <t>Red Card Gaming Inc</t>
  </si>
  <si>
    <t>High Card Flush Assets</t>
  </si>
  <si>
    <t>Rave Reviews Cinemas LLC</t>
  </si>
  <si>
    <t>16 entertainment complexes</t>
  </si>
  <si>
    <t>Cardium Therapeutics Inc</t>
  </si>
  <si>
    <t>To Go Brands Inc</t>
  </si>
  <si>
    <t>Integrity Design &amp; Displays Inc</t>
  </si>
  <si>
    <t>Boddie-Noell Enterprises Inc</t>
  </si>
  <si>
    <t>Charlie Brown's Steakhouse</t>
  </si>
  <si>
    <t>19 Texas Steakhouse &amp; Saloon rest</t>
  </si>
  <si>
    <t>Fortitude Group Inc</t>
  </si>
  <si>
    <t>AppSwarm Inc</t>
  </si>
  <si>
    <t>Intel Corp,Relay Ventures</t>
  </si>
  <si>
    <t>3 Wendy's restaurants</t>
  </si>
  <si>
    <t>Hunter Straker Ltd</t>
  </si>
  <si>
    <t>Praesidian Capital</t>
  </si>
  <si>
    <t>Texas Steakhouse &amp; Saloon</t>
  </si>
  <si>
    <t>NOOK Media LLC</t>
  </si>
  <si>
    <t>Maverik Inc</t>
  </si>
  <si>
    <t>Clean Transportation Group Inc</t>
  </si>
  <si>
    <t>Home View Technologies Inc</t>
  </si>
  <si>
    <t>Riverwalk Casino &amp; Hotel</t>
  </si>
  <si>
    <t>5.11 Tactical Inc</t>
  </si>
  <si>
    <t>Beyond Clothing LLC</t>
  </si>
  <si>
    <t>TTCM China Inc/Old</t>
  </si>
  <si>
    <t>VaporBrands International Inc</t>
  </si>
  <si>
    <t>Savage BMW/MINI of Ontario</t>
  </si>
  <si>
    <t>HMS Host/US</t>
  </si>
  <si>
    <t>34 pawn lending locations</t>
  </si>
  <si>
    <t>Mattress USA Inc</t>
  </si>
  <si>
    <t>Carolina Rustica Inc</t>
  </si>
  <si>
    <t>Ritani</t>
  </si>
  <si>
    <t>Private Investor,Flight Club New York Ltd</t>
  </si>
  <si>
    <t>SWARM Mobile</t>
  </si>
  <si>
    <t>67 Retail Locations</t>
  </si>
  <si>
    <t>CAMP Systems International Inc,Menlo Ventures (Fund: Menlo Ventures XI LP),CrunchFund,Vedd...</t>
  </si>
  <si>
    <t>Kidaptive Inc</t>
  </si>
  <si>
    <t>Private Investor,True Ventures (Fund: True Ventures III LP)</t>
  </si>
  <si>
    <t>Blue Bottle Coffee Inc</t>
  </si>
  <si>
    <t>28 Restaurants</t>
  </si>
  <si>
    <t>Stribling Equipment LLC</t>
  </si>
  <si>
    <t>Warrior of Arkansas Inc</t>
  </si>
  <si>
    <t>Green Acres Mall LLC</t>
  </si>
  <si>
    <t>Ohio Dealerships</t>
  </si>
  <si>
    <t>Alexander's Inc</t>
  </si>
  <si>
    <t>Kings Plaza</t>
  </si>
  <si>
    <t>Toronto-Dominion Bank/The</t>
  </si>
  <si>
    <t>US Visa &amp; Private Label Card Portfolio</t>
  </si>
  <si>
    <t>Alex and Ani LLC</t>
  </si>
  <si>
    <t>American Photographic Artists</t>
  </si>
  <si>
    <t>Editorial Photographers</t>
  </si>
  <si>
    <t>Crystal Financial LLC</t>
  </si>
  <si>
    <t>Signet Jewelers Ltd</t>
  </si>
  <si>
    <t>Ultra Stores Inc</t>
  </si>
  <si>
    <t>Emiliani Enterprises Inc</t>
  </si>
  <si>
    <t>Professional distribution business</t>
  </si>
  <si>
    <t>New Mountain Capital LLC</t>
  </si>
  <si>
    <t>ABB CONCISE Optical Group LLC</t>
  </si>
  <si>
    <t>Urban Garden Supplies</t>
  </si>
  <si>
    <t>Two J Christopher's restaurants</t>
  </si>
  <si>
    <t>Gravity Collection Sports Network Inc</t>
  </si>
  <si>
    <t>Mega-Pro Inc</t>
  </si>
  <si>
    <t>Strike Axe Inc</t>
  </si>
  <si>
    <t>Mega-Pro brand</t>
  </si>
  <si>
    <t>Bitterroot Toyota Inc</t>
  </si>
  <si>
    <t>Private Investor,Paradigm Talent &amp; Literary Agency,Greylock Partners (Fund: Greylock XIII ...</t>
  </si>
  <si>
    <t>Laffster</t>
  </si>
  <si>
    <t>SemStream Arizona Propane LLC</t>
  </si>
  <si>
    <t>Tanger Factory Outlet Centers Inc,RioCan Real Estate Investment Trust</t>
  </si>
  <si>
    <t>Les Factoreries St and Bromont Outlet Mall</t>
  </si>
  <si>
    <t>LucasArts Entertainment Co</t>
  </si>
  <si>
    <t>Lucasfilm Ltd LLC</t>
  </si>
  <si>
    <t>Sena Cases Inc</t>
  </si>
  <si>
    <t>Flores Gas Co Inc</t>
  </si>
  <si>
    <t>Private Investor,Box Group Co,Lowercase Capital LLC,Quotidian Ventures,ff Venture Capital,...</t>
  </si>
  <si>
    <t>Moveline Inc</t>
  </si>
  <si>
    <t>Warnaco Group Inc/The</t>
  </si>
  <si>
    <t>Memphis Basketball LLC</t>
  </si>
  <si>
    <t>Memphis Grizzlies</t>
  </si>
  <si>
    <t>BioOrigyn</t>
  </si>
  <si>
    <t>Pre-Seed brand</t>
  </si>
  <si>
    <t>Crane &amp; Co Inc</t>
  </si>
  <si>
    <t>William Arthur Inc</t>
  </si>
  <si>
    <t>810 AC LLC</t>
  </si>
  <si>
    <t>Stellar Resources PLC</t>
  </si>
  <si>
    <t>Hambric Sports Management LLC</t>
  </si>
  <si>
    <t>Eckler's Enterprises Inc</t>
  </si>
  <si>
    <t>Mac's Antique Auto Parts Inc</t>
  </si>
  <si>
    <t>Greenwood Gaming &amp; Entertainment Inc</t>
  </si>
  <si>
    <t>Jeffquip Inc</t>
  </si>
  <si>
    <t>Care Medical Equipment Inc</t>
  </si>
  <si>
    <t>Rehab and Repair Divisions</t>
  </si>
  <si>
    <t>Chalak Group Inc/The,Mitra QSR KNE LLC</t>
  </si>
  <si>
    <t>120 KFC units</t>
  </si>
  <si>
    <t>Northern Tool &amp; Equipment Co Inc</t>
  </si>
  <si>
    <t>Sportsman's Guide Inc/The,Golf Warehouse LLC/The</t>
  </si>
  <si>
    <t>Design Pics Inc</t>
  </si>
  <si>
    <t>Alaska Stock LLC</t>
  </si>
  <si>
    <t>Not Your Average Joe's Inc</t>
  </si>
  <si>
    <t>Amerimarq Tek Corp</t>
  </si>
  <si>
    <t>Fast Track Inc</t>
  </si>
  <si>
    <t>12 stores/NC</t>
  </si>
  <si>
    <t>Two Dealerships</t>
  </si>
  <si>
    <t>Aeropostale Inc</t>
  </si>
  <si>
    <t>GoJane LLC</t>
  </si>
  <si>
    <t>Fertitta Interactive LLC</t>
  </si>
  <si>
    <t>Nox Technologies Inc</t>
  </si>
  <si>
    <t>Bourbon Brothers Holding Corp</t>
  </si>
  <si>
    <t>Southern Hospitality Franchise Holding Corp</t>
  </si>
  <si>
    <t>BFC Financial Corp</t>
  </si>
  <si>
    <t>Gaming and Leisure Properties Inc</t>
  </si>
  <si>
    <t>Cleveland Browns Football Co LLC</t>
  </si>
  <si>
    <t>Gaunce Management Inc</t>
  </si>
  <si>
    <t>26 Papa Johns pizza stores</t>
  </si>
  <si>
    <t>Plexus Capital (Fund: Plexus Fund II LP),Salem Halifax Capital Partners LP</t>
  </si>
  <si>
    <t>Salt Lake Brewing Co LC</t>
  </si>
  <si>
    <t>SanSai North America Franchising LLC</t>
  </si>
  <si>
    <t>Wasabi Management Co Inc</t>
  </si>
  <si>
    <t>3 SanSai Japanese Grill locations</t>
  </si>
  <si>
    <t>32 Theatres</t>
  </si>
  <si>
    <t>Knott's Soak City</t>
  </si>
  <si>
    <t>Corplex Inc</t>
  </si>
  <si>
    <t>Compass Group Canada Ltd</t>
  </si>
  <si>
    <t>Nova Services Group Inc</t>
  </si>
  <si>
    <t>Sensational Brands Inc</t>
  </si>
  <si>
    <t>Green Hygienics Inc</t>
  </si>
  <si>
    <t>Ssensational trademark</t>
  </si>
  <si>
    <t>VizStar Inc</t>
  </si>
  <si>
    <t>Kimberly Parry Corp</t>
  </si>
  <si>
    <t>Time Warner Inc,Private Investor,Daher Capital,Upfront Ventures (Fund: GRP III Investors L...</t>
  </si>
  <si>
    <t>Florida Gaming Corp</t>
  </si>
  <si>
    <t>Silvermark</t>
  </si>
  <si>
    <t>Florida Gaming Centers Inc</t>
  </si>
  <si>
    <t>Go Cash LLC</t>
  </si>
  <si>
    <t>Presentation Products Inc</t>
  </si>
  <si>
    <t>Presentation Media Inc</t>
  </si>
  <si>
    <t>L&amp;R Distributors Inc</t>
  </si>
  <si>
    <t>SAJ Distributors</t>
  </si>
  <si>
    <t>Paradise Restaurant Group LLC</t>
  </si>
  <si>
    <t>Great Escape Theatres</t>
  </si>
  <si>
    <t>Jumbo Interactive Ltd</t>
  </si>
  <si>
    <t>Retail Gaming Solutions</t>
  </si>
  <si>
    <t>Business Intelligence Systems Solutions Holdings BV</t>
  </si>
  <si>
    <t>Management Group,Star Avenue Capital LLC</t>
  </si>
  <si>
    <t>Fast Retailing Co Ltd</t>
  </si>
  <si>
    <t>J Brand Holdings LLC</t>
  </si>
  <si>
    <t>Trek Bicycle Corp</t>
  </si>
  <si>
    <t>Bike Gallery Inc</t>
  </si>
  <si>
    <t>Advance Publications Inc,Private Investor</t>
  </si>
  <si>
    <t>Whistler Blackcomb Holdings Inc,KSL Capital Partners LLC (Fund: KSL Capital Partners III LP)</t>
  </si>
  <si>
    <t>Robert Bosch Stiftung GmbH</t>
  </si>
  <si>
    <t>MANN+HUMMEL GmbH</t>
  </si>
  <si>
    <t>Purolator Filters NA LLC</t>
  </si>
  <si>
    <t>Spark Capital,Benchmark Capital Holdings Co LLC (Fund: Benchmark Capital Partners VI LP),I...</t>
  </si>
  <si>
    <t>1stdibs.com Inc</t>
  </si>
  <si>
    <t>Bertram Capital Management LLC</t>
  </si>
  <si>
    <t>Paula's Choice Inc</t>
  </si>
  <si>
    <t>Blue Ribbon Motoring LLC</t>
  </si>
  <si>
    <t>AutoZone Inc</t>
  </si>
  <si>
    <t>Spring Chrysler Jeep Dodge Inc,Boardwalk Auto Group LLC</t>
  </si>
  <si>
    <t>Stores/Texas</t>
  </si>
  <si>
    <t>C&amp;C Homecare Inc</t>
  </si>
  <si>
    <t>Lucky Litter LLC</t>
  </si>
  <si>
    <t>Volkswagen &amp; Bentley store</t>
  </si>
  <si>
    <t>Ryan Seacrest Media</t>
  </si>
  <si>
    <t>Civic Entertainment Group LLC</t>
  </si>
  <si>
    <t>Webster Capital,Charlesbank Capital Partners LLC (Fund: Charlesbank Equity Fund VII LP)</t>
  </si>
  <si>
    <t>Bergstrom Automotive</t>
  </si>
  <si>
    <t>Brennan Buick Inc</t>
  </si>
  <si>
    <t>Afton Alps,Mount Brighton</t>
  </si>
  <si>
    <t>High Road Capital Partners LLC</t>
  </si>
  <si>
    <t>Accurate Component Sales Inc</t>
  </si>
  <si>
    <t>Topman,Topshop</t>
  </si>
  <si>
    <t>skyrockit Inc</t>
  </si>
  <si>
    <t>Mandalay Digital Group Inc</t>
  </si>
  <si>
    <t>Music label assets</t>
  </si>
  <si>
    <t>American Meat Co Inc</t>
  </si>
  <si>
    <t>Reyes Holdings LLC</t>
  </si>
  <si>
    <t>29 Stores/Various States</t>
  </si>
  <si>
    <t>Rivertown Ford/GA</t>
  </si>
  <si>
    <t>LNK Partners</t>
  </si>
  <si>
    <t>Beachbody LLC</t>
  </si>
  <si>
    <t>Private Investor,Box Group Co,Y Combinator,Start Fund,500 Startups (Fund: 500 Startups II LP)</t>
  </si>
  <si>
    <t>Reassurance Inc</t>
  </si>
  <si>
    <t>Diversified Foodservice Supply Inc</t>
  </si>
  <si>
    <t>Franklin Machine Products Inc</t>
  </si>
  <si>
    <t>Time Warner Inc,Metro-Goldwyn-Mayer Inc</t>
  </si>
  <si>
    <t>Kabam Inc</t>
  </si>
  <si>
    <t>Ultrastar Cinemas</t>
  </si>
  <si>
    <t>Digital Cinema Destinations Corp,Start Media LLC</t>
  </si>
  <si>
    <t>Seven Movie Theaters</t>
  </si>
  <si>
    <t>World Ventures Inc,District Gold Inc</t>
  </si>
  <si>
    <t>Walker River Resources Corp</t>
  </si>
  <si>
    <t>Sleeper Lapon Canyon gold pj</t>
  </si>
  <si>
    <t>International Paper Co</t>
  </si>
  <si>
    <t>Georgia-Pacific LLC</t>
  </si>
  <si>
    <t>Temple Inland building products division</t>
  </si>
  <si>
    <t>Phoenix Big Cinemas Management LLC</t>
  </si>
  <si>
    <t>Medicine Chest Pharmacy Ltd</t>
  </si>
  <si>
    <t>Joh A Benckiser SE</t>
  </si>
  <si>
    <t>Caribou Coffee Co Inc</t>
  </si>
  <si>
    <t>Vitamin Shoppe Inc</t>
  </si>
  <si>
    <t>Super Supplements Inc</t>
  </si>
  <si>
    <t>VIP Parts Tires &amp; Services Inc</t>
  </si>
  <si>
    <t>Auto parts-related assets</t>
  </si>
  <si>
    <t>Multi Service Corp</t>
  </si>
  <si>
    <t>Drake Supply Co Inc</t>
  </si>
  <si>
    <t>Industrial Gas &amp; Supply Inc</t>
  </si>
  <si>
    <t>IGS Propane</t>
  </si>
  <si>
    <t>Reach Toothbrushes</t>
  </si>
  <si>
    <t>Cambridge Nanotech Inc</t>
  </si>
  <si>
    <t>Ultratech Inc</t>
  </si>
  <si>
    <t>Madrona Venture Group LLC</t>
  </si>
  <si>
    <t>Lumo BodyTech Inc</t>
  </si>
  <si>
    <t>BWP Distributors Inc</t>
  </si>
  <si>
    <t>High Line Venture Partners,Bedrocket Media Ventures LLC,FirstMark Capital LLC (Fund: First...</t>
  </si>
  <si>
    <t>Tubular Labs Inc</t>
  </si>
  <si>
    <t>Laura Geller Beauty LLC</t>
  </si>
  <si>
    <t>Sportech PLC</t>
  </si>
  <si>
    <t>eBet Online Inc</t>
  </si>
  <si>
    <t>Neff Inc</t>
  </si>
  <si>
    <t>Ameristar Casinos Inc</t>
  </si>
  <si>
    <t>Mute label</t>
  </si>
  <si>
    <t>Sierra Trading Post Inc</t>
  </si>
  <si>
    <t>ShowPlex Cinemas</t>
  </si>
  <si>
    <t>Starplex Cinemas Inc</t>
  </si>
  <si>
    <t>Technomedia Solutions LLC,GoConvergence</t>
  </si>
  <si>
    <t>Bell Group Inc</t>
  </si>
  <si>
    <t>Rio Grande Jewelers' Supply</t>
  </si>
  <si>
    <t>Godrej Consumer Products Ltd</t>
  </si>
  <si>
    <t>Soft &amp; Gentle brand</t>
  </si>
  <si>
    <t>MVI Group</t>
  </si>
  <si>
    <t>Tile Shop Holdings Inc</t>
  </si>
  <si>
    <t>150000 square foot distribution facility</t>
  </si>
  <si>
    <t>Nimes Capital LLC</t>
  </si>
  <si>
    <t>Pacific Island Restaurants Inc</t>
  </si>
  <si>
    <t>Ridgemont Equity Partners</t>
  </si>
  <si>
    <t>National Seating &amp; Mobility Inc</t>
  </si>
  <si>
    <t>GPI KS-SK Inc</t>
  </si>
  <si>
    <t>APC Paper Holdings Inc</t>
  </si>
  <si>
    <t>Soundview Paper Co LLC</t>
  </si>
  <si>
    <t>Putney Paper Co Inc</t>
  </si>
  <si>
    <t>CL Thomas Inc</t>
  </si>
  <si>
    <t>Martin Midstream Partners LP</t>
  </si>
  <si>
    <t>ATG-Rehab Specialists Inc</t>
  </si>
  <si>
    <t>Active Health Foods Inc</t>
  </si>
  <si>
    <t>Manos Beverages Inc</t>
  </si>
  <si>
    <t>143 convenience stores and wholesale business</t>
  </si>
  <si>
    <t>Cuddledown Inc</t>
  </si>
  <si>
    <t>Intermix Holdco Inc</t>
  </si>
  <si>
    <t>Tri-State Propane Inc</t>
  </si>
  <si>
    <t>Elite Foodservice Associates Inc</t>
  </si>
  <si>
    <t>Zenfolio Inc</t>
  </si>
  <si>
    <t>Ocean Canyon Properties Inc</t>
  </si>
  <si>
    <t>Gemini Funding Co Inc</t>
  </si>
  <si>
    <t>Mitsui &amp; Co Ltd</t>
  </si>
  <si>
    <t>Paul Stuart Inc</t>
  </si>
  <si>
    <t>AIC Ventures</t>
  </si>
  <si>
    <t>Industrial research facility</t>
  </si>
  <si>
    <t>Global-Dining Inc</t>
  </si>
  <si>
    <t>Red Chamber Co</t>
  </si>
  <si>
    <t>Jupiter Telecommunications Co Ltd</t>
  </si>
  <si>
    <t>Animal Planet Japan Co Ltd</t>
  </si>
  <si>
    <t>Schwarz Paper Co</t>
  </si>
  <si>
    <t>Crimson Investments</t>
  </si>
  <si>
    <t>Ameda Inc</t>
  </si>
  <si>
    <t>4 Applebees restaurants,Advance Auto parts/TX</t>
  </si>
  <si>
    <t>Kimco Realty Corp,Klaff Realty LP,Lubert-Adler Partners LP,Cerberus Capital Management LP,...</t>
  </si>
  <si>
    <t>New Albertsons Inc</t>
  </si>
  <si>
    <t>Kingold Jewelry Inc</t>
  </si>
  <si>
    <t>Swatch Group AG/The</t>
  </si>
  <si>
    <t>LA Boxing Franchise Corp</t>
  </si>
  <si>
    <t>Trive Capital</t>
  </si>
  <si>
    <t>Precise Packaging Inc</t>
  </si>
  <si>
    <t>Rocky Mountain Chocolate Factory Inc</t>
  </si>
  <si>
    <t>Aspen Leaf Yogurt assets</t>
  </si>
  <si>
    <t>Enhanced Equity Funds</t>
  </si>
  <si>
    <t>Specialty Therapeutic Care Holdings Inc</t>
  </si>
  <si>
    <t>Arsenal Capital Partners</t>
  </si>
  <si>
    <t>Tractmanager Inc</t>
  </si>
  <si>
    <t>Southern Bells Inc</t>
  </si>
  <si>
    <t>Bio-Botanica Inc</t>
  </si>
  <si>
    <t>Genceutic Naturals</t>
  </si>
  <si>
    <t>ELand World Ltd</t>
  </si>
  <si>
    <t>K-Swiss Inc</t>
  </si>
  <si>
    <t>Grotech Ventures,SJF Ventures (Fund: SJF Ventures II LP),QED Associates LLC</t>
  </si>
  <si>
    <t>Optoro Inc</t>
  </si>
  <si>
    <t>Lowe's Cos Inc,Unnamed Buyer,Energy Capital Partners (Fund: Energy Capital Partners II LP)...</t>
  </si>
  <si>
    <t>Rock Gaming LLC</t>
  </si>
  <si>
    <t>Greektown Superholdings Inc</t>
  </si>
  <si>
    <t>RMG Networks Holding Corp</t>
  </si>
  <si>
    <t>19 Cinema screens</t>
  </si>
  <si>
    <t>Alterna Haircare</t>
  </si>
  <si>
    <t>Optical Distributor Group LLC</t>
  </si>
  <si>
    <t>Dolphon Promotions</t>
  </si>
  <si>
    <t>US Antique Shows</t>
  </si>
  <si>
    <t>Miami National Antiques Show &amp; Sale</t>
  </si>
  <si>
    <t>Sportsmark Management Group Ltd</t>
  </si>
  <si>
    <t>GMR Marketing LLC</t>
  </si>
  <si>
    <t>Unnamed Buyer,Brentwood Associates Inc</t>
  </si>
  <si>
    <t>Veggie Grill Inc/The</t>
  </si>
  <si>
    <t>Sysco Canada Inc</t>
  </si>
  <si>
    <t>Allard Fruits &amp; Legumes Inc</t>
  </si>
  <si>
    <t>Groupe Le Duff SA</t>
  </si>
  <si>
    <t>Mimi's Cafe Inc</t>
  </si>
  <si>
    <t>Ihra Entertainment LLC</t>
  </si>
  <si>
    <t>International Hot Rod Association</t>
  </si>
  <si>
    <t>TriMas Corp</t>
  </si>
  <si>
    <t>Martinic Engineering Inc</t>
  </si>
  <si>
    <t>VisionQuest Capital</t>
  </si>
  <si>
    <t>James Taylor Autopark LLC</t>
  </si>
  <si>
    <t>WMS Industries Inc</t>
  </si>
  <si>
    <t>Aspect Group Ltd</t>
  </si>
  <si>
    <t>Longshot Interactive LLC</t>
  </si>
  <si>
    <t>Bangor Publishing Co</t>
  </si>
  <si>
    <t>Pup-Pee Solutions USA LLC</t>
  </si>
  <si>
    <t>Baseline Ventures,Mousse Partners Ltd,Harrison Metal Capital</t>
  </si>
  <si>
    <t>Rivet &amp; Sway</t>
  </si>
  <si>
    <t>Ignite Restaurant Group Inc</t>
  </si>
  <si>
    <t>2121 Sunset Inc</t>
  </si>
  <si>
    <t>Solanbridge Group Inc</t>
  </si>
  <si>
    <t>David's Steak &amp; Seafood</t>
  </si>
  <si>
    <t>Parlophone Label Group</t>
  </si>
  <si>
    <t>AutoTrader Group Inc</t>
  </si>
  <si>
    <t>Montagu Private Equity LLP</t>
  </si>
  <si>
    <t>GHD Ltd/UK</t>
  </si>
  <si>
    <t>Glades Gas Co</t>
  </si>
  <si>
    <t>Propane operating assets</t>
  </si>
  <si>
    <t>WPP PLC,Goldman Sachs Group Inc/The,ABRY Partners LLC</t>
  </si>
  <si>
    <t>Aventine Group Inc</t>
  </si>
  <si>
    <t>Entretenimiento GM de Mexico SA de CV</t>
  </si>
  <si>
    <t>Cinemark de Mexico SA de CV</t>
  </si>
  <si>
    <t>Sanctuary Records</t>
  </si>
  <si>
    <t>Kroenke Sports Holdings LLC</t>
  </si>
  <si>
    <t>Dowlen Sound Inc</t>
  </si>
  <si>
    <t>Hollywood Theaters Inc</t>
  </si>
  <si>
    <t>Toridoll Holding Ltd</t>
  </si>
  <si>
    <t>Dream Dining Corp</t>
  </si>
  <si>
    <t>Grupo Gigante SAB de CV</t>
  </si>
  <si>
    <t>Office Depot de Mexico SA de CV</t>
  </si>
  <si>
    <t>Polaris Venture Partners,Private Investor,Leerink Partners LLC</t>
  </si>
  <si>
    <t>Barnes Group Inc</t>
  </si>
  <si>
    <t>North American Distribution business of Barnes Group</t>
  </si>
  <si>
    <t>AMOREPACIFIC Group,Palisade Capital Management LLC</t>
  </si>
  <si>
    <t>Brickell Biotech Inc</t>
  </si>
  <si>
    <t>Uniden Corp</t>
  </si>
  <si>
    <t>RSR Group Inc</t>
  </si>
  <si>
    <t>Uniden America Corp Bldg</t>
  </si>
  <si>
    <t>TBG Holdings Corp</t>
  </si>
  <si>
    <t>Monkey Rock Group Inc</t>
  </si>
  <si>
    <t>Beam Charging LLC</t>
  </si>
  <si>
    <t>Private Investor,Western Technology Investment,Roc Nation LLC,Maveron LLC (Fund: Maveron E...</t>
  </si>
  <si>
    <t>Julep Beauty Inc</t>
  </si>
  <si>
    <t>iParty Corp</t>
  </si>
  <si>
    <t>Fixtures Living Inc</t>
  </si>
  <si>
    <t>H&amp;H Wheel Service Inc</t>
  </si>
  <si>
    <t>ACI Parts Warehousing Inc</t>
  </si>
  <si>
    <t>Unnamed Buyer,Javelin Venture Partners</t>
  </si>
  <si>
    <t>Famous Industries Inc</t>
  </si>
  <si>
    <t>Blue Point Capital Partners LLC</t>
  </si>
  <si>
    <t>Shnier Gesco LP</t>
  </si>
  <si>
    <t>Belmay Holding Corp</t>
  </si>
  <si>
    <t>Global fragrance business</t>
  </si>
  <si>
    <t>Private Investor,RPM Ventures LLC,DFJ Mercury,Dundee Venture Capital</t>
  </si>
  <si>
    <t>WOS Inc/TX</t>
  </si>
  <si>
    <t>Phillips Feed Service Inc</t>
  </si>
  <si>
    <t>2 Upscale gentlemen clubs</t>
  </si>
  <si>
    <t>Mangos Restaurant and Lounge</t>
  </si>
  <si>
    <t>Parker Boat Co Inc</t>
  </si>
  <si>
    <t>Retail boat sales &amp; service operations</t>
  </si>
  <si>
    <t>Mayfield Fund (Fund: Mayfield XIII LP),Norwest Venture Partners (Fund: Norwest Venture Par...</t>
  </si>
  <si>
    <t>Basis Science Inc</t>
  </si>
  <si>
    <t>First Power and Light Inc</t>
  </si>
  <si>
    <t>First Power &amp; Light LLC</t>
  </si>
  <si>
    <t>Hot Topic Inc</t>
  </si>
  <si>
    <t>Private Investor,Greylock Partners (Fund: Greylock XIII LP),Lux Capital (Fund: Lux Venture...</t>
  </si>
  <si>
    <t>Matterport Inc</t>
  </si>
  <si>
    <t>Toll Brothers Inc</t>
  </si>
  <si>
    <t>Snowmass Club Associates LLC</t>
  </si>
  <si>
    <t>American Express Co,Advance Publications Inc,Kleiner Perkins Caufield &amp; Byers,Novel TMT Ve...</t>
  </si>
  <si>
    <t>Isis Parenting Inc</t>
  </si>
  <si>
    <t>Creative Artists Agency LLC,Google Ventures,William Morris Endeavor Entertainment LLC,Crun...</t>
  </si>
  <si>
    <t>creativeLIVE Inc</t>
  </si>
  <si>
    <t>Capital Group Cos Inc/The,Canyon Capital Advisors LLC,Chatham Asset Management LLC</t>
  </si>
  <si>
    <t>Revel Entertainment Group LLC</t>
  </si>
  <si>
    <t>Synapse Sustainability Trust Inc</t>
  </si>
  <si>
    <t>EV Pass LLC</t>
  </si>
  <si>
    <t>Camping World Inc,Good Sam Enterprises LLC</t>
  </si>
  <si>
    <t>Nationwide Rv LLC</t>
  </si>
  <si>
    <t>Camper Coaches Ltd</t>
  </si>
  <si>
    <t>Cooking.com Inc</t>
  </si>
  <si>
    <t>Lightbank LLC</t>
  </si>
  <si>
    <t>Soundsupply Inc</t>
  </si>
  <si>
    <t>Grand Capital Ventures Inc</t>
  </si>
  <si>
    <t>WBC Holdings Inc</t>
  </si>
  <si>
    <t>Leftfield Pictures of NY Inc</t>
  </si>
  <si>
    <t>Sirens Media LLC</t>
  </si>
  <si>
    <t>Orlando Bathing Suit LLC</t>
  </si>
  <si>
    <t>Private Investor,Wood Creek Capital Management LLC</t>
  </si>
  <si>
    <t>Mr Bar-B-Q</t>
  </si>
  <si>
    <t>JDS Development Group</t>
  </si>
  <si>
    <t>Steinway Hall building</t>
  </si>
  <si>
    <t>Enterprise Investors (Fund: Polish Enterprise Fund VII LP),Morgan Stanley Alternative Inve...</t>
  </si>
  <si>
    <t>Scitec Holding BV</t>
  </si>
  <si>
    <t>Concord Neighborhood Corp</t>
  </si>
  <si>
    <t>RMH Franchise Corp</t>
  </si>
  <si>
    <t>Roundy's Inc</t>
  </si>
  <si>
    <t>2 Mariano's Fresh Market stores</t>
  </si>
  <si>
    <t>Oxford Casino</t>
  </si>
  <si>
    <t>Orchard Fertilizer Service Inc</t>
  </si>
  <si>
    <t>Light Group LLC/The,Delano South Beach</t>
  </si>
  <si>
    <t>Caleel + Hayden Inc</t>
  </si>
  <si>
    <t>MAS Holdings Ltd/Sri Lanka</t>
  </si>
  <si>
    <t>Attune Consulting Usa Inc</t>
  </si>
  <si>
    <t>Polaris Capital Group Co Ltd</t>
  </si>
  <si>
    <t>Socie World Co Ltd</t>
  </si>
  <si>
    <t>Sherman Clay &amp; Co</t>
  </si>
  <si>
    <t>Bay Area retail piano business</t>
  </si>
  <si>
    <t>Propane operation</t>
  </si>
  <si>
    <t>Ultimate Mobility Inc</t>
  </si>
  <si>
    <t>Complex Rehab Business</t>
  </si>
  <si>
    <t>58 Hydro,Rocky Mountain Hydroponics LLC,Evergreen Garden Center LLC</t>
  </si>
  <si>
    <t>Frontier Communications Corp</t>
  </si>
  <si>
    <t>Mohave Cellular LP</t>
  </si>
  <si>
    <t>Utrecht Linens Inc</t>
  </si>
  <si>
    <t>Clearly Herbal Ltd</t>
  </si>
  <si>
    <t>Green Innovations Ltd</t>
  </si>
  <si>
    <t>Clearly Herbal brands trademark</t>
  </si>
  <si>
    <t>Rhythm &amp; Hues Inc</t>
  </si>
  <si>
    <t>Prana Studios Inc</t>
  </si>
  <si>
    <t>Rhythm &amp; Hues asset</t>
  </si>
  <si>
    <t>TripAdvisor Inc</t>
  </si>
  <si>
    <t>Jetsetter.com</t>
  </si>
  <si>
    <t>LEDXchange LLC</t>
  </si>
  <si>
    <t>Endexx Corp</t>
  </si>
  <si>
    <t>Cann-Can LLC</t>
  </si>
  <si>
    <t>Ryderz Compound Inc</t>
  </si>
  <si>
    <t>Service Team Inc</t>
  </si>
  <si>
    <t>Trade Leasing Inc</t>
  </si>
  <si>
    <t>Ralph Lauren Corp</t>
  </si>
  <si>
    <t>Chaps Menswear License</t>
  </si>
  <si>
    <t>Pittsburgh Steelers Sports Inc</t>
  </si>
  <si>
    <t>Colonie Center</t>
  </si>
  <si>
    <t>Leibold Communications Inc</t>
  </si>
  <si>
    <t>Enterprise Business</t>
  </si>
  <si>
    <t>Muscle Warfare Inc</t>
  </si>
  <si>
    <t>Private Investor,RedOne</t>
  </si>
  <si>
    <t>Hunt/The</t>
  </si>
  <si>
    <t>Indigo Group LLC</t>
  </si>
  <si>
    <t>6 quick service restaurants</t>
  </si>
  <si>
    <t>Novation Holdings Inc</t>
  </si>
  <si>
    <t>Burger King Worldwide Inc</t>
  </si>
  <si>
    <t>Redberry Investments Corp</t>
  </si>
  <si>
    <t>Burger King Restaurants of Canada Inc</t>
  </si>
  <si>
    <t>Hoigaard's Inc</t>
  </si>
  <si>
    <t>New Meadowlands Racetrack LLC</t>
  </si>
  <si>
    <t>Primanti Bros Restaurant Corp</t>
  </si>
  <si>
    <t>Pinewood Shepperton PLC</t>
  </si>
  <si>
    <t>River's Rock LLC</t>
  </si>
  <si>
    <t>Madison Reed Inc</t>
  </si>
  <si>
    <t>Private Investor,True Ventures (Fund: True Ventures III LP),Maveron LLC (Fund: Maveron Equ...</t>
  </si>
  <si>
    <t>Madison Color Inc</t>
  </si>
  <si>
    <t>Hahn Automotive Warehouse Inc</t>
  </si>
  <si>
    <t>E&amp;L Battery Ignition Co Inc</t>
  </si>
  <si>
    <t>Dream Nightclub</t>
  </si>
  <si>
    <t>Private Investors,Beedie Capital Partners,HBC Investments</t>
  </si>
  <si>
    <t>Cablevision Systems Corp</t>
  </si>
  <si>
    <t>Bow Tie Cinemas LLC</t>
  </si>
  <si>
    <t>Clearview Cinemas</t>
  </si>
  <si>
    <t>BodyMedia Inc</t>
  </si>
  <si>
    <t>Turtle Wax Inc</t>
  </si>
  <si>
    <t>Transchem Pro Inc</t>
  </si>
  <si>
    <t>Best Buy Europe Distributions Ltd</t>
  </si>
  <si>
    <t>Grillit Inc</t>
  </si>
  <si>
    <t>Healthy &amp; Tasty Ventures LLC</t>
  </si>
  <si>
    <t>3M Co</t>
  </si>
  <si>
    <t>Orvis Co Inc</t>
  </si>
  <si>
    <t>Scientific Anglers &amp; Ross Reels Businesses</t>
  </si>
  <si>
    <t>AwesomenessTV Inc</t>
  </si>
  <si>
    <t>Andreessen Horowitz (Fund: Andreessen Horowitz Fund III LP),SV Angel (Fund: SV Angel IV LP...</t>
  </si>
  <si>
    <t>Walker &amp; Co Brands Inc</t>
  </si>
  <si>
    <t>Pet Food Ltd Inc</t>
  </si>
  <si>
    <t>Certain Assets &amp; Liabilities of Pet Food Ltd and PFX Pet Supply</t>
  </si>
  <si>
    <t>Global Split-Off LLC</t>
  </si>
  <si>
    <t>Swarovski America Ltd</t>
  </si>
  <si>
    <t>Chamilia LLC</t>
  </si>
  <si>
    <t>Mobility Designs Inc</t>
  </si>
  <si>
    <t>Criterion Music Corp</t>
  </si>
  <si>
    <t>Jaytex Group</t>
  </si>
  <si>
    <t>Tommy Bahama business</t>
  </si>
  <si>
    <t>Paradise Entertainment Ltd</t>
  </si>
  <si>
    <t>Oak Investment Partners,Softbank Capital Partners,Bedrocket Media Ventures LLC,Lerer Ventu...</t>
  </si>
  <si>
    <t>NowThis Media Inc</t>
  </si>
  <si>
    <t>Macau Live Gaming SA</t>
  </si>
  <si>
    <t>Nevis Capital Corp</t>
  </si>
  <si>
    <t>Macau Live Gaming Inc</t>
  </si>
  <si>
    <t>Kodak UK Pension Plan</t>
  </si>
  <si>
    <t>Document Imaging and Personalized Imaging business</t>
  </si>
  <si>
    <t>Baskins Western &amp; Work Wear</t>
  </si>
  <si>
    <t>Converge Global Inc</t>
  </si>
  <si>
    <t>Chefinesse Inc</t>
  </si>
  <si>
    <t>Campbell's Bottled Gas Inc,EasiGas Inc</t>
  </si>
  <si>
    <t>Virginia propane business</t>
  </si>
  <si>
    <t>Tristar Wellness Solutions Inc</t>
  </si>
  <si>
    <t>HemCon Medical Technologies Inc</t>
  </si>
  <si>
    <t>Galaxy Brand Holdings Inc</t>
  </si>
  <si>
    <t>Nevados,Avia</t>
  </si>
  <si>
    <t>Sente Inc</t>
  </si>
  <si>
    <t>OneOps</t>
  </si>
  <si>
    <t>Tasty Labs Inc</t>
  </si>
  <si>
    <t>Andell Holdings LLC,Onex Corp (Fund: Oncap II LP)</t>
  </si>
  <si>
    <t>Herff Jones Inc</t>
  </si>
  <si>
    <t>Landauer-Metropolitan Inc</t>
  </si>
  <si>
    <t>Piedmont International Trucks LLC</t>
  </si>
  <si>
    <t>Inception Film Partners LLC</t>
  </si>
  <si>
    <t>Strategic Film Partners</t>
  </si>
  <si>
    <t>Guitar Center Holdings Inc</t>
  </si>
  <si>
    <t>Anaheim Band Instruments Inc</t>
  </si>
  <si>
    <t>W-Diamond Group Corp</t>
  </si>
  <si>
    <t>Waitt Co</t>
  </si>
  <si>
    <t>Bobby Jones brand</t>
  </si>
  <si>
    <t>OTZ Shoes Inc</t>
  </si>
  <si>
    <t>Twenty-First Century Fox Inc</t>
  </si>
  <si>
    <t>Melbourne Storm Rugby League Club Ltd</t>
  </si>
  <si>
    <t>YO! Debit Card Network</t>
  </si>
  <si>
    <t>Movin Shoes Inc</t>
  </si>
  <si>
    <t>Crown City Pictures Inc</t>
  </si>
  <si>
    <t>Starpoint USA Inc</t>
  </si>
  <si>
    <t>Jesselson Capital Corp,Avalon Ventures (Fund: Avalon Ventures IX LP),Shaman Ventures</t>
  </si>
  <si>
    <t>Happy Cloud Inc</t>
  </si>
  <si>
    <t>rue21 inc</t>
  </si>
  <si>
    <t>Evriholder Products LLC</t>
  </si>
  <si>
    <t>Spongeables LLC</t>
  </si>
  <si>
    <t>Murray Motor Imports Co</t>
  </si>
  <si>
    <t>DSG International Ltd</t>
  </si>
  <si>
    <t>Domtar Corp</t>
  </si>
  <si>
    <t>Associated Hygienic Products LLC</t>
  </si>
  <si>
    <t>1957 Delamo LLC</t>
  </si>
  <si>
    <t>Primco Management Inc</t>
  </si>
  <si>
    <t>Salvage Parent Inc</t>
  </si>
  <si>
    <t>Essential Salon Products Inc</t>
  </si>
  <si>
    <t>Salon assets</t>
  </si>
  <si>
    <t>American Realty Capital Properties Inc</t>
  </si>
  <si>
    <t>Four Hundred and Seventy One Net Lease Properties</t>
  </si>
  <si>
    <t>Seventh Generation Inc</t>
  </si>
  <si>
    <t>Move Collective LLC</t>
  </si>
  <si>
    <t>Honora Industries Inc</t>
  </si>
  <si>
    <t>Eastdil Secured LLC</t>
  </si>
  <si>
    <t>Vintage Capital Group LLC</t>
  </si>
  <si>
    <t>Mall at Whitney Field/The</t>
  </si>
  <si>
    <t>Walls Industries Inc</t>
  </si>
  <si>
    <t>Bobble</t>
  </si>
  <si>
    <t>Wai Skincare Inc</t>
  </si>
  <si>
    <t>QCSA Holdings Inc</t>
  </si>
  <si>
    <t>Private Investor,Great Oaks Venture Capital,500 Startups (Fund: 500 Startups II LP)</t>
  </si>
  <si>
    <t>Makeably</t>
  </si>
  <si>
    <t>Private Investor,Doll Capital Management Inc (Fund: DCM VI LP)</t>
  </si>
  <si>
    <t>Whistle Labs Inc</t>
  </si>
  <si>
    <t>Independent Living Systems LLC</t>
  </si>
  <si>
    <t>Royal Health Care LLC</t>
  </si>
  <si>
    <t>Ascension Health Ventures LLC,Robert Bosch Venture Capital GmbH,Springfield Investments LL...</t>
  </si>
  <si>
    <t>Cheetah Medical Inc</t>
  </si>
  <si>
    <t>Gaming Partners International Corp</t>
  </si>
  <si>
    <t>Blue Chip Co LLC/The</t>
  </si>
  <si>
    <t>New Enterprise Associates Inc (Fund: New Enterprise Associates XIV LP),Contour Venture Par...</t>
  </si>
  <si>
    <t>VPS Convenience Store Group</t>
  </si>
  <si>
    <t>GPM Investments LLC</t>
  </si>
  <si>
    <t>VPS Convenience Store Group Southeast Division</t>
  </si>
  <si>
    <t>John Eye's Big Sandy Superstore Inc</t>
  </si>
  <si>
    <t>Grand Home Furnishings</t>
  </si>
  <si>
    <t>Four stores in West VA</t>
  </si>
  <si>
    <t>O'Brien Auto Group of Salem</t>
  </si>
  <si>
    <t>Inkiru Inc</t>
  </si>
  <si>
    <t>American Restaurant Holdings Inc</t>
  </si>
  <si>
    <t>American Restaurants LLC</t>
  </si>
  <si>
    <t>Montreux Equity Partners LLC (Fund: Montreux Equity Partners V LP),Split Rock Partners (Fu...</t>
  </si>
  <si>
    <t>Diamond Game Enterprises Inc</t>
  </si>
  <si>
    <t>Precision Interface Electronics Inc</t>
  </si>
  <si>
    <t>NPC Restaurant Holdings LLC</t>
  </si>
  <si>
    <t>22 Wendy restaurants</t>
  </si>
  <si>
    <t>Gold Hill Resources Inc</t>
  </si>
  <si>
    <t>Accurate Locators Inc</t>
  </si>
  <si>
    <t>Majority of Orchard's assets</t>
  </si>
  <si>
    <t>Private Investor,Draper Associates LP,True Ventures (Fund: True Ventures II LP),Dundee Ven...</t>
  </si>
  <si>
    <t>Red Zone Capital Management Co LLC</t>
  </si>
  <si>
    <t>Scout Capital Management LLC</t>
  </si>
  <si>
    <t>Heartland Food LLC</t>
  </si>
  <si>
    <t>32 restaurants/Ontario</t>
  </si>
  <si>
    <t>ITV PLC</t>
  </si>
  <si>
    <t>Thinkfactory Media Inc</t>
  </si>
  <si>
    <t>Princeton University,Private Investor</t>
  </si>
  <si>
    <t>Surge Performance Training LLC</t>
  </si>
  <si>
    <t>HRSH Acquisitions LLC</t>
  </si>
  <si>
    <t>Alloy Brand assets</t>
  </si>
  <si>
    <t>Value Foods Co LLC</t>
  </si>
  <si>
    <t>13 Franchised Wendys restaurants</t>
  </si>
  <si>
    <t>41 pawn lending locations</t>
  </si>
  <si>
    <t>Go Try It On</t>
  </si>
  <si>
    <t>19 US pawn stores</t>
  </si>
  <si>
    <t>Wantful Inc</t>
  </si>
  <si>
    <t>Emo Capital Corp</t>
  </si>
  <si>
    <t>Me4Free</t>
  </si>
  <si>
    <t>Oriental Trading Co Inc</t>
  </si>
  <si>
    <t>Mindware Holdings Inc</t>
  </si>
  <si>
    <t>Blue Wolf Capital Partners LLC</t>
  </si>
  <si>
    <t>Suwannee Lumber Manufacturing Co</t>
  </si>
  <si>
    <t>ABRA Auto Body &amp; Glass</t>
  </si>
  <si>
    <t>Royal Auto Glass</t>
  </si>
  <si>
    <t>Silpada Designs Inc</t>
  </si>
  <si>
    <t>AT Williams Oil Co</t>
  </si>
  <si>
    <t>Hess Corp</t>
  </si>
  <si>
    <t>WilcoHess LLC</t>
  </si>
  <si>
    <t>Optrust Retail Inc</t>
  </si>
  <si>
    <t>Landmark Apartment Trust of America Inc</t>
  </si>
  <si>
    <t>Lifestyle Global Enterprise Inc</t>
  </si>
  <si>
    <t>Lifestyle Enterprise Inc</t>
  </si>
  <si>
    <t>Karhu North America LLC</t>
  </si>
  <si>
    <t>New Wave Group AB</t>
  </si>
  <si>
    <t>CRAFT products distribution</t>
  </si>
  <si>
    <t>ReverTech Solutions LLC</t>
  </si>
  <si>
    <t>Test Technology Inc</t>
  </si>
  <si>
    <t>Motion &amp; Flow Control Products Inc</t>
  </si>
  <si>
    <t>MD Hose &amp; Fitting LLC</t>
  </si>
  <si>
    <t>ATS Wheelchair and Medical</t>
  </si>
  <si>
    <t>CorePower Yoga LLC</t>
  </si>
  <si>
    <t>RegiMEN LLC</t>
  </si>
  <si>
    <t>Silver Oak Services Partners LLC</t>
  </si>
  <si>
    <t>Amiga Games Inc</t>
  </si>
  <si>
    <t>Home Box Office Inc,Rho Ventures LLC,CBC New Media Group LLC,Felicis Ventures LLC,William ...</t>
  </si>
  <si>
    <t>Tivli Inc</t>
  </si>
  <si>
    <t>National Credit Union Administration</t>
  </si>
  <si>
    <t>Mission Federal Credit Union</t>
  </si>
  <si>
    <t>Autoland Inc</t>
  </si>
  <si>
    <t>Droga5 LLC</t>
  </si>
  <si>
    <t>Sun Holdings LLC</t>
  </si>
  <si>
    <t>Three Krispy Creme Stores/Texas</t>
  </si>
  <si>
    <t>Leon's Furniture Ltd,Schottenstein Stores Corp,Rooms To Go Inc,Mistral Equity Partners (Fu...</t>
  </si>
  <si>
    <t>Blueport Commerce</t>
  </si>
  <si>
    <t>EK3 Technologies Inc</t>
  </si>
  <si>
    <t>Restaurant in South Florida</t>
  </si>
  <si>
    <t>Village Nurseries Wholesale LLC</t>
  </si>
  <si>
    <t>Miramar Wholesale Nurseries Inc</t>
  </si>
  <si>
    <t>Three digital entertainment complexes</t>
  </si>
  <si>
    <t>Maveron LLC (Fund: Maveron Equity Partners IV LP),Andreessen Horowitz (Fund: AH Annex Fund...</t>
  </si>
  <si>
    <t>JW Childs Associates LP</t>
  </si>
  <si>
    <t>JA Holding Inc</t>
  </si>
  <si>
    <t>Samuelsohn Ltd</t>
  </si>
  <si>
    <t>Hickey-Freeman Co Inc</t>
  </si>
  <si>
    <t>NanoTech Entertainment Inc</t>
  </si>
  <si>
    <t>MagicScreen3D Inc</t>
  </si>
  <si>
    <t>Private Investor,KarpReilly LLC</t>
  </si>
  <si>
    <t>Miller's Ale House</t>
  </si>
  <si>
    <t>Corporate Floors Inc</t>
  </si>
  <si>
    <t>Simply Floor It</t>
  </si>
  <si>
    <t>Torbit</t>
  </si>
  <si>
    <t>Casino Resort &amp; Hotel</t>
  </si>
  <si>
    <t>Littlejohn &amp; Co LLC</t>
  </si>
  <si>
    <t>Handy Hardware Wholesale Inc</t>
  </si>
  <si>
    <t>Marukai Corp/Japan</t>
  </si>
  <si>
    <t>Marukai Corp</t>
  </si>
  <si>
    <t>Camping World Inc,Affinity Group Holding LLC</t>
  </si>
  <si>
    <t>Ace Fogdall Inc</t>
  </si>
  <si>
    <t>Hudson's Bay Co</t>
  </si>
  <si>
    <t>Transitions Optical Inc,Intercast Europe Srl</t>
  </si>
  <si>
    <t>Lazy Dog Restaurant &amp; Bar</t>
  </si>
  <si>
    <t>Coach Inc</t>
  </si>
  <si>
    <t>Reed Krakoff LLC</t>
  </si>
  <si>
    <t>Hunt Sports Group LLC</t>
  </si>
  <si>
    <t>Precourt Sports Ventures LLC</t>
  </si>
  <si>
    <t>Columbus Crew</t>
  </si>
  <si>
    <t>Simon Property Group Inc,Schottenstein Stores Corp,Jesselson Capital Corp</t>
  </si>
  <si>
    <t>Jifiti Inc</t>
  </si>
  <si>
    <t>Republic Of Texas Brands Inc</t>
  </si>
  <si>
    <t>Scrubs &amp; Beyond LLC</t>
  </si>
  <si>
    <t>Healthcare Uniform Co Inc</t>
  </si>
  <si>
    <t>Seek Capital</t>
  </si>
  <si>
    <t>Textbookrental.ca Inc</t>
  </si>
  <si>
    <t>Harold Zeigler Auto Group Inc</t>
  </si>
  <si>
    <t>BMW Dealership/Orlando Park</t>
  </si>
  <si>
    <t>Manduka LLC</t>
  </si>
  <si>
    <t>Yogitoes LLC</t>
  </si>
  <si>
    <t>DORMA GmbH + Co KG</t>
  </si>
  <si>
    <t>Door Controls Inc</t>
  </si>
  <si>
    <t>Gator Apple LLC</t>
  </si>
  <si>
    <t>Doherty Enterprises Inc</t>
  </si>
  <si>
    <t>38 Applebee's Restaurants</t>
  </si>
  <si>
    <t>Management Group,Bain Capital Partners LLC (Fund: Bain Capital Fund XI LP)</t>
  </si>
  <si>
    <t>Blackhawk Specialty Tools LLC</t>
  </si>
  <si>
    <t>Box Group Co,Betaworks,Highline Venture Partners,RRE Ventures (Fund: RRE Ventures V LP),Cr...</t>
  </si>
  <si>
    <t>Albumatic Inc</t>
  </si>
  <si>
    <t>Cooper-Standard Holding Inc</t>
  </si>
  <si>
    <t>Jyco Sealing Technologies Inc</t>
  </si>
  <si>
    <t>Advantage Sales &amp; Marketing LLC</t>
  </si>
  <si>
    <t>Program Sales Inc</t>
  </si>
  <si>
    <t>RWJ Management Co Inc</t>
  </si>
  <si>
    <t>Graham Enterprise Inc</t>
  </si>
  <si>
    <t>10 BP branded retail convenience store gas stations</t>
  </si>
  <si>
    <t>Thunderbird Sanctuary</t>
  </si>
  <si>
    <t>CriterionBrock</t>
  </si>
  <si>
    <t>MAB Flooring Inc</t>
  </si>
  <si>
    <t>Box Group Co,TiE Angels,Vaizra Ventures,Tribeca Venture Partners (Fund: Tribeca Venture Fu...</t>
  </si>
  <si>
    <t>Maxwell Health</t>
  </si>
  <si>
    <t>West End Wings Ltd,Manchester Wings Ltd</t>
  </si>
  <si>
    <t>Chanticleer Holdings Inc</t>
  </si>
  <si>
    <t>England Hooters restaurant</t>
  </si>
  <si>
    <t>Rocky Top Markets LLC,Rocky Top Properties LLC</t>
  </si>
  <si>
    <t>Lehigh Gas Partners LP</t>
  </si>
  <si>
    <t>30 motor fuel stations</t>
  </si>
  <si>
    <t>Sequential Brands Group Inc</t>
  </si>
  <si>
    <t>Revo</t>
  </si>
  <si>
    <t>IceArizona Acquisition Co LLC</t>
  </si>
  <si>
    <t>HydroLogic LLC</t>
  </si>
  <si>
    <t>First Water Systems Inc</t>
  </si>
  <si>
    <t>Val de Vie Estate</t>
  </si>
  <si>
    <t>Perfect China Co Ltd</t>
  </si>
  <si>
    <t>Dermstore LLC</t>
  </si>
  <si>
    <t>Rogers Petroleum Inc</t>
  </si>
  <si>
    <t>17 motor fuel stations</t>
  </si>
  <si>
    <t>Execujet Aircraft Trading AG</t>
  </si>
  <si>
    <t>Jetcraft Corp</t>
  </si>
  <si>
    <t>CCI Corp/US</t>
  </si>
  <si>
    <t>Wal-Mart Stores Inc,SmartCentres Realty Inc</t>
  </si>
  <si>
    <t>Retrocom Real Estate Investment Trust</t>
  </si>
  <si>
    <t>Two Walmart anchored shopping centres</t>
  </si>
  <si>
    <t>Pernix Therapeutics Holdings</t>
  </si>
  <si>
    <t>Paulson &amp; Co Inc</t>
  </si>
  <si>
    <t>OrotonGroup Ltd</t>
  </si>
  <si>
    <t>Glacier Water Services Inc</t>
  </si>
  <si>
    <t>ISB-in Store Bagging Machine Co LLC</t>
  </si>
  <si>
    <t>Harvey Oil Inc Hurst</t>
  </si>
  <si>
    <t>Pep-Up Inc</t>
  </si>
  <si>
    <t>Bagwell Oil Co Inc</t>
  </si>
  <si>
    <t>Teleflora LLC</t>
  </si>
  <si>
    <t>Flowerbuyer.com</t>
  </si>
  <si>
    <t>New Jersey Devils</t>
  </si>
  <si>
    <t>Forstmann Little &amp; Co</t>
  </si>
  <si>
    <t>William Morris Endeavor Entertainment LLC,Silver Lake Management LLC (Fund: Silver Lake Pa...</t>
  </si>
  <si>
    <t>IMG Worldwide Inc</t>
  </si>
  <si>
    <t>52 Screens</t>
  </si>
  <si>
    <t>Tropicana Entertainment Inc</t>
  </si>
  <si>
    <t>Four Season Hotel St Louis,HoteLumiere,Lumiere Place Casino</t>
  </si>
  <si>
    <t>Incipio Technologies Inc</t>
  </si>
  <si>
    <t>Braven LC</t>
  </si>
  <si>
    <t>Vintage Wine Estates Inc</t>
  </si>
  <si>
    <t>Clos Pegase Winery Inc</t>
  </si>
  <si>
    <t>Peery Partners</t>
  </si>
  <si>
    <t>BodyGuardz</t>
  </si>
  <si>
    <t>Atom Factory Inc</t>
  </si>
  <si>
    <t>Capitol-Emi Music Inc</t>
  </si>
  <si>
    <t>Griffin Land &amp; Nurseries Inc</t>
  </si>
  <si>
    <t>Monrovia Nursery Co</t>
  </si>
  <si>
    <t>Imperial Nurseries Inc</t>
  </si>
  <si>
    <t>Gateway Bells LLC</t>
  </si>
  <si>
    <t>Delta Apparel Inc</t>
  </si>
  <si>
    <t>Salt Life Holdings LLC</t>
  </si>
  <si>
    <t>Chain of 34 pawn lending locations</t>
  </si>
  <si>
    <t>Coby Electronics Corp</t>
  </si>
  <si>
    <t>Teradek LLC</t>
  </si>
  <si>
    <t>Shutterfly Inc</t>
  </si>
  <si>
    <t>R and R Images Inc</t>
  </si>
  <si>
    <t>Private Investors,William Morris Endeavor Entertainment LLC,Union Square Ventures (Fund: U...</t>
  </si>
  <si>
    <t>RoomStore Inc</t>
  </si>
  <si>
    <t>Acme United Corp</t>
  </si>
  <si>
    <t>Wheelchairs Plus Inc</t>
  </si>
  <si>
    <t>Rights in Primary Wave music publishing assets</t>
  </si>
  <si>
    <t>Seven Springs Mountain Resort</t>
  </si>
  <si>
    <t>Schnuck Markets Inc</t>
  </si>
  <si>
    <t>Seven Hilander Stores and One Fuel Center</t>
  </si>
  <si>
    <t>Private Investor,Millstone Capital Advisors LLC (Fund: FSM Fund I LP)</t>
  </si>
  <si>
    <t>RED Lion Beef Corp</t>
  </si>
  <si>
    <t>Gioia Systems LLC</t>
  </si>
  <si>
    <t>Gores Group LLC/The (Fund: Gores Capital Partners II LP),Platinum Equity LLC (Fund: Platin...</t>
  </si>
  <si>
    <t>Super D</t>
  </si>
  <si>
    <t>PET Food Experts Inc</t>
  </si>
  <si>
    <t>Zeus &amp; Co Pet Supply Distributors Inc</t>
  </si>
  <si>
    <t>Gainesville Fuel Inc</t>
  </si>
  <si>
    <t>We R Memory Keepers Inc</t>
  </si>
  <si>
    <t>Lifestyle Crafts LLC</t>
  </si>
  <si>
    <t>Altuzarra</t>
  </si>
  <si>
    <t>Azoff Music Management Group Inc</t>
  </si>
  <si>
    <t>Tuckerman Capital</t>
  </si>
  <si>
    <t>Pacific Northern Inc</t>
  </si>
  <si>
    <t>AKH Co Inc</t>
  </si>
  <si>
    <t>17 Discount Tire Centres</t>
  </si>
  <si>
    <t>Hatco Corp</t>
  </si>
  <si>
    <t>Ovention Inc</t>
  </si>
  <si>
    <t>Tatmar LLC</t>
  </si>
  <si>
    <t>INTRAPHEX</t>
  </si>
  <si>
    <t>Patrick Industries Inc</t>
  </si>
  <si>
    <t>Premier Concepts Inc,Frontline Inc</t>
  </si>
  <si>
    <t>Amazon.com Inc,Private Investor,Deep Fork Capital,William Morris Endeavor Entertainment LL...</t>
  </si>
  <si>
    <t>Songza Media Inc</t>
  </si>
  <si>
    <t>Kerr Drug Inc</t>
  </si>
  <si>
    <t>Kerr Drug's 76 retail drugstores and pharmacy business</t>
  </si>
  <si>
    <t>Loffler Cos Inc</t>
  </si>
  <si>
    <t>Chippewa Valley Office Solutions</t>
  </si>
  <si>
    <t>IT Cosmetics LLC</t>
  </si>
  <si>
    <t>3 La-Z-Boy furniture galleries stores</t>
  </si>
  <si>
    <t>Noble Food Service LLC</t>
  </si>
  <si>
    <t>Canal+ France SA,SingTel Innov8 Pte Ltd,Astro Overseas Ltd,Upfront Ventures (Fund: GRP III...</t>
  </si>
  <si>
    <t>Alder Wood Partners LP</t>
  </si>
  <si>
    <t>Movie Tavern Partners LP</t>
  </si>
  <si>
    <t>Mason Cos Inc</t>
  </si>
  <si>
    <t>Figi's Inc</t>
  </si>
  <si>
    <t>Proposed</t>
  </si>
  <si>
    <t>Artist Series Inc</t>
  </si>
  <si>
    <t>Music-TV channel Fuse</t>
  </si>
  <si>
    <t>Potential Buyer</t>
  </si>
  <si>
    <t>Canaan Partners</t>
  </si>
  <si>
    <t>Blip Networks Inc</t>
  </si>
  <si>
    <t>Four Wendy's restaurants</t>
  </si>
  <si>
    <t>Gem Shopping Network Inc</t>
  </si>
  <si>
    <t>7 shopping centers/U.S</t>
  </si>
  <si>
    <t>Healthcare Solutions Inc</t>
  </si>
  <si>
    <t>Modern Medical Inc</t>
  </si>
  <si>
    <t>ShoreView Industries LLC</t>
  </si>
  <si>
    <t>Rollease Holdings Inc</t>
  </si>
  <si>
    <t>Fiesta Key RV Resort</t>
  </si>
  <si>
    <t>Sequoia Capital Operations LLC (Fund: Sequoia Capital XI LP),Khosla Ventures LLC (Fund: Kh...</t>
  </si>
  <si>
    <t>Private Investor,Accelerator Ventures,First Round Capital (Fund: First Round Capital IV LP...</t>
  </si>
  <si>
    <t>Sproutling Inc</t>
  </si>
  <si>
    <t>Crave Inc</t>
  </si>
  <si>
    <t>Nutranomics Inc</t>
  </si>
  <si>
    <t>Health Education Corp</t>
  </si>
  <si>
    <t>Pyramid Foods Inc</t>
  </si>
  <si>
    <t>Reasors Inc</t>
  </si>
  <si>
    <t>3 Food Pyramid stores</t>
  </si>
  <si>
    <t>Office Essentials Inc</t>
  </si>
  <si>
    <t>PMI Computer Supplies Inc</t>
  </si>
  <si>
    <t>From You Flowers LLC</t>
  </si>
  <si>
    <t>Eve's Addiction</t>
  </si>
  <si>
    <t>CIT Inc</t>
  </si>
  <si>
    <t>Truck dealership assets</t>
  </si>
  <si>
    <t>Picklive Ltd</t>
  </si>
  <si>
    <t>Crystal Rock Holdings Inc</t>
  </si>
  <si>
    <t>Universal Business Equipment Corp</t>
  </si>
  <si>
    <t>Honda Dealership</t>
  </si>
  <si>
    <t>E.ON SE</t>
  </si>
  <si>
    <t>Florida Panthers Hockey Club Ltd</t>
  </si>
  <si>
    <t>West Paces Ferry Healthcare REIT Inc</t>
  </si>
  <si>
    <t>Paramount Pictures Corp</t>
  </si>
  <si>
    <t>LAPTV LLC</t>
  </si>
  <si>
    <t>MAACO Systems Canada Inc</t>
  </si>
  <si>
    <t>Herschend Family Entertainment Corp</t>
  </si>
  <si>
    <t>Edsbyn Senab AB</t>
  </si>
  <si>
    <t>Pitney Bowes Norge AS</t>
  </si>
  <si>
    <t>Ballantyne Strong Inc</t>
  </si>
  <si>
    <t>Josie's Frozen Yogurt LLC</t>
  </si>
  <si>
    <t>GH Bass &amp; Co</t>
  </si>
  <si>
    <t>Project Horizon Inc</t>
  </si>
  <si>
    <t>Palladin Consumer Retail Partners LLC (Fund: Palladin Partners LP),Bruckmann Rosser Sherri...</t>
  </si>
  <si>
    <t>Majority of Motion Entertainment Soundbalance and Headpbone Hub businesses</t>
  </si>
  <si>
    <t>Runa</t>
  </si>
  <si>
    <t>PB Restaurants LLC</t>
  </si>
  <si>
    <t>Shave Clean &amp; Face Guard trademarks for facial care produts</t>
  </si>
  <si>
    <t>Gazal Corp Ltd</t>
  </si>
  <si>
    <t>Lasergraphics Inc</t>
  </si>
  <si>
    <t>2 Ultra HD 4K motion picture film scanning systems</t>
  </si>
  <si>
    <t>21st Century Equipment LLC</t>
  </si>
  <si>
    <t>Mv Equipment LLC</t>
  </si>
  <si>
    <t>Authentic Brands Ltd</t>
  </si>
  <si>
    <t>Juicy Couture brand</t>
  </si>
  <si>
    <t>Intel Capital Corp,NACUBO Market Value of Stanford Univ Endowment Assets,Norwest Venture P...</t>
  </si>
  <si>
    <t>Prime Financial Inc</t>
  </si>
  <si>
    <t>Check Into Cash Inc</t>
  </si>
  <si>
    <t>36 Title Pawn and Payday Stores</t>
  </si>
  <si>
    <t>CRH PLC</t>
  </si>
  <si>
    <t>Fogleman Builders Supply</t>
  </si>
  <si>
    <t>Ariel Group LLC/The</t>
  </si>
  <si>
    <t>Baron Group Inc/The</t>
  </si>
  <si>
    <t>Private Investor,CODE Advisors LLC,Union Square Ventures (Fund: Union Square Ventures 2012...</t>
  </si>
  <si>
    <t>Distributed Creation Inc</t>
  </si>
  <si>
    <t>First Round Capital,SV Angel,Lerer Ventures,True Ventures (Fund: True Ventures III LP)</t>
  </si>
  <si>
    <t>Splice</t>
  </si>
  <si>
    <t>Safeway Inc</t>
  </si>
  <si>
    <t>4 Dominick's Stores/Chicago</t>
  </si>
  <si>
    <t>Two La-Z-Boy Furniture Gallery stores</t>
  </si>
  <si>
    <t>Ecotality Inc</t>
  </si>
  <si>
    <t>Blink assets</t>
  </si>
  <si>
    <t>Leon Speaker Corp</t>
  </si>
  <si>
    <t>Media Decor</t>
  </si>
  <si>
    <t>Terteling Co Inc/The</t>
  </si>
  <si>
    <t>Agri-Services Inc</t>
  </si>
  <si>
    <t>TRI Venture Marketing Inc</t>
  </si>
  <si>
    <t>General Parts International Inc</t>
  </si>
  <si>
    <t>LAC Group LLC</t>
  </si>
  <si>
    <t>Pro-Tek Vaults</t>
  </si>
  <si>
    <t>GVE</t>
  </si>
  <si>
    <t>Oscar De La Renta Ltd</t>
  </si>
  <si>
    <t>Inter Parfums Inc</t>
  </si>
  <si>
    <t>Starstream Entertainment Inc</t>
  </si>
  <si>
    <t>StarStream Entertainment LLC</t>
  </si>
  <si>
    <t>Animal Supply Co LLC</t>
  </si>
  <si>
    <t>PET Food Wholesale Inc</t>
  </si>
  <si>
    <t>Stark Bro's Nurseries &amp; Orchards Co Inc</t>
  </si>
  <si>
    <t>JE Miller Nurseries Inc</t>
  </si>
  <si>
    <t>Rfg Distributing Inc</t>
  </si>
  <si>
    <t>Elf Pet Products</t>
  </si>
  <si>
    <t>Avionics International Supply Inc</t>
  </si>
  <si>
    <t>WellTok Inc</t>
  </si>
  <si>
    <t>Extreme Holdings Inc</t>
  </si>
  <si>
    <t>Mervin Manufacturing Inc</t>
  </si>
  <si>
    <t>Flagship Cinemas Inc</t>
  </si>
  <si>
    <t>Carey Watermark Investors Inc</t>
  </si>
  <si>
    <t>Fresno Lincoln Volvo Store</t>
  </si>
  <si>
    <t>Chime Communications PLC</t>
  </si>
  <si>
    <t>Committed Capital Acquisition Corp</t>
  </si>
  <si>
    <t>STK Miami restaurant</t>
  </si>
  <si>
    <t>1-Day Paint &amp; Body Centers Inc</t>
  </si>
  <si>
    <t>Crown Sports Management LLC</t>
  </si>
  <si>
    <t>Andor Technology PLC/United Kingdom</t>
  </si>
  <si>
    <t>Apogee Imaging Systems Inc</t>
  </si>
  <si>
    <t>Dealertrack Technologies Inc</t>
  </si>
  <si>
    <t>Nexteppe Business Solutions Inc</t>
  </si>
  <si>
    <t>EVG Media Inc</t>
  </si>
  <si>
    <t>Pool Supply World Inc</t>
  </si>
  <si>
    <t>Leslie's Poolmart Inc</t>
  </si>
  <si>
    <t>Closet &amp; Storage Concepts</t>
  </si>
  <si>
    <t>More Space Place Inc/FL</t>
  </si>
  <si>
    <t>Private Investors,New Atlantic Ventures (Fund: New Atlantic Ventures III LP),Maryland Vent...</t>
  </si>
  <si>
    <t>Bambeco Inc</t>
  </si>
  <si>
    <t>Thermionics Corp</t>
  </si>
  <si>
    <t>Apex Medical Corp/United States</t>
  </si>
  <si>
    <t>ThermiPaq Hot/Cold Therapy brand &amp; assets</t>
  </si>
  <si>
    <t>Muvico Entertainment LLC</t>
  </si>
  <si>
    <t>JF Restaurants LLC</t>
  </si>
  <si>
    <t>Berpa Auto Auction Inc</t>
  </si>
  <si>
    <t>Autodesk Inc</t>
  </si>
  <si>
    <t>Deviantart Inc</t>
  </si>
  <si>
    <t>Eastern Shores Inc</t>
  </si>
  <si>
    <t>10-plex in Londonderry NH</t>
  </si>
  <si>
    <t>Geweke Toyota Scion store/CA</t>
  </si>
  <si>
    <t>Parkland Fuel Corp</t>
  </si>
  <si>
    <t>SPF Energy Inc</t>
  </si>
  <si>
    <t>Clickshops Inc</t>
  </si>
  <si>
    <t>United Commerce Group Inc</t>
  </si>
  <si>
    <t>MassageChairs.com,GarageCabinetsOnline.com</t>
  </si>
  <si>
    <t>ROK Stars PLC</t>
  </si>
  <si>
    <t>Marula Oil brand</t>
  </si>
  <si>
    <t>Aphena Pharma Solutions Inc</t>
  </si>
  <si>
    <t>Ileos SA</t>
  </si>
  <si>
    <t>Health &amp; beauty division</t>
  </si>
  <si>
    <t>Sprayglo USA Inc</t>
  </si>
  <si>
    <t>Moritz BMW/MINI and Moritz Cadillac dealership</t>
  </si>
  <si>
    <t>SAC-N-Pac Stores Inc,3W Warren Fuels Ltd</t>
  </si>
  <si>
    <t>NewSchools Venture Fund,Menlo Ventures (Fund: Menlo Ventures XI LP),Prana Studios Inc,Form...</t>
  </si>
  <si>
    <t>Morgan Stanley Capital Partners</t>
  </si>
  <si>
    <t>Tops Holding II Corp</t>
  </si>
  <si>
    <t>Jos A Bank Clothiers Inc</t>
  </si>
  <si>
    <t>Phillips 66</t>
  </si>
  <si>
    <t>Publix Super Markets Inc</t>
  </si>
  <si>
    <t>Memphis Redbirds Baseball Foundation</t>
  </si>
  <si>
    <t>St Louis Cardinals LLC</t>
  </si>
  <si>
    <t>Memphis Redbirds</t>
  </si>
  <si>
    <t>Cell-Nique Corp</t>
  </si>
  <si>
    <t>Hollywall Entertainment Inc</t>
  </si>
  <si>
    <t>Hollywall Entertainment Inc/Old</t>
  </si>
  <si>
    <t>Minit Mart Foods LLC</t>
  </si>
  <si>
    <t>Travel Centers of America Inc</t>
  </si>
  <si>
    <t>31 convenience stores/KY</t>
  </si>
  <si>
    <t>CKE Inc</t>
  </si>
  <si>
    <t>Olie Inc</t>
  </si>
  <si>
    <t>Settlement Management Series 1 LLC</t>
  </si>
  <si>
    <t>54 Wendy's restaurants</t>
  </si>
  <si>
    <t>New Enterprise Associates Inc (Fund: New Enterprise Associates XIII LP),Greylock Partners ...</t>
  </si>
  <si>
    <t>Wet n Wild water park in Phoenix Arizona</t>
  </si>
  <si>
    <t>Hysteria Productions</t>
  </si>
  <si>
    <t>Mass Hysteria Entertainment Co Inc</t>
  </si>
  <si>
    <t>W&amp;O Inc</t>
  </si>
  <si>
    <t>Ameristar Casino Lake Charles project</t>
  </si>
  <si>
    <t>Deva Concepts LLC</t>
  </si>
  <si>
    <t>Sobeys Quebec Inc</t>
  </si>
  <si>
    <t>CST Brands Inc</t>
  </si>
  <si>
    <t>4 Sobeys locations</t>
  </si>
  <si>
    <t>Kangas Corp</t>
  </si>
  <si>
    <t>12 US pawn stores</t>
  </si>
  <si>
    <t>SWaN &amp; Legend Venture Partners</t>
  </si>
  <si>
    <t>Cunningham Brick Co</t>
  </si>
  <si>
    <t>Wienerberger AG</t>
  </si>
  <si>
    <t>Cleveland county plant</t>
  </si>
  <si>
    <t>Barnes Healthcare Services</t>
  </si>
  <si>
    <t>Custom mobility division</t>
  </si>
  <si>
    <t>Peterson Machinery Co</t>
  </si>
  <si>
    <t>Farm Journal Corp</t>
  </si>
  <si>
    <t>Machinery Pete business</t>
  </si>
  <si>
    <t>Cut-Heal Animal Care Products Inc</t>
  </si>
  <si>
    <t>Apria Healthcare Group Inc</t>
  </si>
  <si>
    <t>Coram LLC</t>
  </si>
  <si>
    <t>Cardax Inc</t>
  </si>
  <si>
    <t>Cardax Pharmaceuticals Inc</t>
  </si>
  <si>
    <t>Sportradar AG</t>
  </si>
  <si>
    <t>SportsData</t>
  </si>
  <si>
    <t>Yahoo! Inc</t>
  </si>
  <si>
    <t>DWA Investments Inc</t>
  </si>
  <si>
    <t>Nassco Inc</t>
  </si>
  <si>
    <t>CTL Co Inc</t>
  </si>
  <si>
    <t>Blue Water Global Group Inc</t>
  </si>
  <si>
    <t>Stream Flow Media Inc</t>
  </si>
  <si>
    <t>Scott County Casino LLC</t>
  </si>
  <si>
    <t>Rhythm City Casino</t>
  </si>
  <si>
    <t>NYX Gaming Group Ltd</t>
  </si>
  <si>
    <t>DMB Associates Inc</t>
  </si>
  <si>
    <t>Whitestone REIT</t>
  </si>
  <si>
    <t>Market Street</t>
  </si>
  <si>
    <t>Dallas Spoon LLC,Dallas Spoon Beverage LLC</t>
  </si>
  <si>
    <t>STK Midtown LLC</t>
  </si>
  <si>
    <t>Lands' End Inc</t>
  </si>
  <si>
    <t>Nano Cap Magazine and advertising portal</t>
  </si>
  <si>
    <t>Nationwide Vision Center PC</t>
  </si>
  <si>
    <t>Gordon Brothers Group LLC,Hilco Trading Co Inc,Infinity Group - Holding Co LLC</t>
  </si>
  <si>
    <t>Jay Automotive Group Inc</t>
  </si>
  <si>
    <t>Investor Group,TA Associates Inc (Fund: TA XI LP)</t>
  </si>
  <si>
    <t>Post Holdings Inc</t>
  </si>
  <si>
    <t>Giant Eagle Inc</t>
  </si>
  <si>
    <t>RX21 LLC</t>
  </si>
  <si>
    <t>Casino Queen Inc</t>
  </si>
  <si>
    <t>Casino Queen real estate assets</t>
  </si>
  <si>
    <t>Lucky Brand Dungarees Inc</t>
  </si>
  <si>
    <t>Allen &amp; Co LLC,Valiant Capital Partners LP,Time Warner Investments,R&amp;R Ventures Inc,Union ...</t>
  </si>
  <si>
    <t>Simulmedia Inc</t>
  </si>
  <si>
    <t>Cheswick Theaters Inc</t>
  </si>
  <si>
    <t>Sarver 10-plex</t>
  </si>
  <si>
    <t>Husky Finance Holdings LLC,Global Gaming &amp; Hospitality</t>
  </si>
  <si>
    <t>Nugget hotel</t>
  </si>
  <si>
    <t>Jacksonville Wendy restaurant</t>
  </si>
  <si>
    <t>Tacala LLC</t>
  </si>
  <si>
    <t>Austaco Ltd</t>
  </si>
  <si>
    <t>Bailey Co Inc/The</t>
  </si>
  <si>
    <t>United States Beef Corp</t>
  </si>
  <si>
    <t>47 Arbys restaurants</t>
  </si>
  <si>
    <t>Southeastern Health Plus Inc</t>
  </si>
  <si>
    <t>Rehab division/SC</t>
  </si>
  <si>
    <t>Red Lobster Seafood Co</t>
  </si>
  <si>
    <t>Hi Score Corp</t>
  </si>
  <si>
    <t>GI Sportz</t>
  </si>
  <si>
    <t>Tippmann Sports LLC</t>
  </si>
  <si>
    <t>Natura Foods LLC</t>
  </si>
  <si>
    <t>Tiger Global Management LLC (Fund: Tiger Global Private Investment Partners VII LP),Genera...</t>
  </si>
  <si>
    <t>Motor Propane Service Inc</t>
  </si>
  <si>
    <t>As Seen On TV Inc</t>
  </si>
  <si>
    <t>All Tool Sales Inc</t>
  </si>
  <si>
    <t>Brick Top Productions Inc</t>
  </si>
  <si>
    <t>S&amp;G Holdings Inc</t>
  </si>
  <si>
    <t>Hooters of Oregon Partners LLC,Tacoma Wings LLC</t>
  </si>
  <si>
    <t>10-Screen Entertainment Complex in Florida</t>
  </si>
  <si>
    <t>United Distribution Group LLC</t>
  </si>
  <si>
    <t>Dandy Specialties Inc</t>
  </si>
  <si>
    <t>G&amp;K Services Inc</t>
  </si>
  <si>
    <t>Direct sale program business,Irish cleanroom business</t>
  </si>
  <si>
    <t>Warrenton nursing home</t>
  </si>
  <si>
    <t>Specialty Wheelchairs LLC</t>
  </si>
  <si>
    <t>Flyers Energy LLC</t>
  </si>
  <si>
    <t>Allied Washoe Petroleum</t>
  </si>
  <si>
    <t>Zoned Nutrition LLC</t>
  </si>
  <si>
    <t>Aden &amp; Anais Inc</t>
  </si>
  <si>
    <t>Tents Hawaii Inc</t>
  </si>
  <si>
    <t>Hokutou Holdings International Inc</t>
  </si>
  <si>
    <t>Platinum Pari-Mutuel Group Inc</t>
  </si>
  <si>
    <t>Private Investor,Rotunda Capital Partners LLC</t>
  </si>
  <si>
    <t>Discount Ramps.com LLC</t>
  </si>
  <si>
    <t>Lulu Press Inc</t>
  </si>
  <si>
    <t>Replay Photos LLC</t>
  </si>
  <si>
    <t>Atheer Labs Inc</t>
  </si>
  <si>
    <t>Management Group,TPG Capital (Fund: TPG Growth II LP)</t>
  </si>
  <si>
    <t>Fronteras Mexican Grill &amp; Cantina</t>
  </si>
  <si>
    <t>PharMerica Corp</t>
  </si>
  <si>
    <t>BGS Pharmacy Partners Inc</t>
  </si>
  <si>
    <t>Capital Square Realty Advisors LLC</t>
  </si>
  <si>
    <t>Gander Mountain sporting goods store</t>
  </si>
  <si>
    <t>Vivakor Inc</t>
  </si>
  <si>
    <t>WellMed Global LLC</t>
  </si>
  <si>
    <t>VivaCeuticals Inc</t>
  </si>
  <si>
    <t>Hakkasan Ltd</t>
  </si>
  <si>
    <t>Enlightened Hospitality Group LLC</t>
  </si>
  <si>
    <t>Autobytel Inc</t>
  </si>
  <si>
    <t>Auto Usa</t>
  </si>
  <si>
    <t>Private Investor,Deep Fork Capital,William Morris Endeavor Entertainment LLC,Social Starts...</t>
  </si>
  <si>
    <t>Battlefy</t>
  </si>
  <si>
    <t>Pure Romance LLC</t>
  </si>
  <si>
    <t>Slumber Parties</t>
  </si>
  <si>
    <t>Ricoh Co Ltd</t>
  </si>
  <si>
    <t>MVP Holdings Inc</t>
  </si>
  <si>
    <t>Katz Group Inc</t>
  </si>
  <si>
    <t>Bakersfield Condors</t>
  </si>
  <si>
    <t>Worldwide Golf Shops</t>
  </si>
  <si>
    <t>Global Custom Commerce LP</t>
  </si>
  <si>
    <t>Blinds.com</t>
  </si>
  <si>
    <t>Imagina USA Inc</t>
  </si>
  <si>
    <t>Hemisphere Media Group Inc</t>
  </si>
  <si>
    <t>3 Spanish-language cable television networks</t>
  </si>
  <si>
    <t>Examiner.com</t>
  </si>
  <si>
    <t>Vogue International LLC</t>
  </si>
  <si>
    <t>Weston Presidio Capital</t>
  </si>
  <si>
    <t>Wing Nutz Development LLC</t>
  </si>
  <si>
    <t>Joe Caputo &amp; Sons Inc</t>
  </si>
  <si>
    <t>4 Dominicks stores</t>
  </si>
  <si>
    <t>Wing Nutz LLC</t>
  </si>
  <si>
    <t>Norwest Venture Partners (Fund: Norwest Venture Partners XI LP),True Ventures (Fund: True ...</t>
  </si>
  <si>
    <t>Weiman Products LLC</t>
  </si>
  <si>
    <t>Cleaning Products Division of Homax Products Inc</t>
  </si>
  <si>
    <t>Fortis Inc/Canada</t>
  </si>
  <si>
    <t>Griffith Energy Services Inc</t>
  </si>
  <si>
    <t>Social Bet Inc</t>
  </si>
  <si>
    <t>Food Management Partners Inc</t>
  </si>
  <si>
    <t>Don Pablo's restaurants</t>
  </si>
  <si>
    <t>Oriental Aromatics Inc</t>
  </si>
  <si>
    <t>North American fragrance assets</t>
  </si>
  <si>
    <t>TPG Capital</t>
  </si>
  <si>
    <t>JA Cosmetics US Inc</t>
  </si>
  <si>
    <t>KODA Distribution Group Inc</t>
  </si>
  <si>
    <t>DeWolf Cos/The</t>
  </si>
  <si>
    <t>Green Smoke Inc</t>
  </si>
  <si>
    <t>Altria Group Inc</t>
  </si>
  <si>
    <t>E-vapor business</t>
  </si>
  <si>
    <t>Good Egg Restaurants LLC</t>
  </si>
  <si>
    <t>Vantage Mobility International LLC</t>
  </si>
  <si>
    <t>Williams Group Holdings LLC</t>
  </si>
  <si>
    <t>Guggenheim Partners LLC</t>
  </si>
  <si>
    <t>Los Angeles Sparks/The</t>
  </si>
  <si>
    <t>Island Honda of Kahului</t>
  </si>
  <si>
    <t>Gould Paper Corp</t>
  </si>
  <si>
    <t>Bosworth Papers Inc</t>
  </si>
  <si>
    <t>Private Investor,NEW Capital Fund LP</t>
  </si>
  <si>
    <t>Magma Flooring LLC</t>
  </si>
  <si>
    <t>RegalWorks Media Inc</t>
  </si>
  <si>
    <t>Working Element LLC</t>
  </si>
  <si>
    <t>Longroad Asset Management LLC</t>
  </si>
  <si>
    <t>Blue Bell Mattress Co Inc</t>
  </si>
  <si>
    <t>Ubiquity Broadcasting Corp</t>
  </si>
  <si>
    <t>Zuus Media Inc</t>
  </si>
  <si>
    <t>Alliance Media Group Holdings Inc</t>
  </si>
  <si>
    <t>AMG Energy Group LLC</t>
  </si>
  <si>
    <t>Cargill Inc</t>
  </si>
  <si>
    <t>PET Carousel Inc</t>
  </si>
  <si>
    <t>Hammer Lane Volkswagen store in California</t>
  </si>
  <si>
    <t>Performance Health Inc</t>
  </si>
  <si>
    <t>Bon Vital Inc</t>
  </si>
  <si>
    <t>CMH Space Flooring Products Inc</t>
  </si>
  <si>
    <t>Delaware North Cos</t>
  </si>
  <si>
    <t>24 Stop n Go locations</t>
  </si>
  <si>
    <t>Advanced Beauty Systems Inc</t>
  </si>
  <si>
    <t>Dr Teal's Therapeutic Solutions</t>
  </si>
  <si>
    <t>Southern Tulsa Healthcare Center</t>
  </si>
  <si>
    <t>Fisker Automotive Inc</t>
  </si>
  <si>
    <t>Wanxiang America Corp</t>
  </si>
  <si>
    <t>Certain Automobile assets</t>
  </si>
  <si>
    <t>Fuzzy Peach Franchising LLC</t>
  </si>
  <si>
    <t>Bitzio Inc</t>
  </si>
  <si>
    <t>Sahaja LLC</t>
  </si>
  <si>
    <t>Smilemakers Inc</t>
  </si>
  <si>
    <t>Tesco PLC</t>
  </si>
  <si>
    <t>Tesco Kipa Kitle Pazarlama Ticaret ve Gida Sanayi AS</t>
  </si>
  <si>
    <t>CleanPath Resources Corp</t>
  </si>
  <si>
    <t>Rights to ecofriendlyorganics.com</t>
  </si>
  <si>
    <t>MUY Hamburger Partners LLC</t>
  </si>
  <si>
    <t>70 wendy's restaurants</t>
  </si>
  <si>
    <t>Doremi Labs Inc</t>
  </si>
  <si>
    <t>Murphy Oil Corp</t>
  </si>
  <si>
    <t>Murco Petroleum Ltd,Milford Haven Wales refinery</t>
  </si>
  <si>
    <t>Corporate Refreshment Services LLC</t>
  </si>
  <si>
    <t>Fresh Healthy Vending International Inc</t>
  </si>
  <si>
    <t>Micro-Markets Division</t>
  </si>
  <si>
    <t>Kendall Automotive Group of Eugene</t>
  </si>
  <si>
    <t>Carrera Motors/Bend</t>
  </si>
  <si>
    <t>Innovision Inc,New World Angels Inc,True Ventures (Fund: True Ventures III LP)</t>
  </si>
  <si>
    <t>Kairos AR Inc</t>
  </si>
  <si>
    <t>Hockenbergs Equipment &amp; Supply Co Inc</t>
  </si>
  <si>
    <t>Grand Restaurant Equipment &amp; Design Inc</t>
  </si>
  <si>
    <t>EuropaCorp</t>
  </si>
  <si>
    <t>Yumprint</t>
  </si>
  <si>
    <t>ProSiebenSat.1 Media AG</t>
  </si>
  <si>
    <t>Half Yard Productions LLC</t>
  </si>
  <si>
    <t>Fred's Inc</t>
  </si>
  <si>
    <t>Modern Healthcare Inc</t>
  </si>
  <si>
    <t>Total Life Care RX Pharmacy LLC,Legacy RX Holdings LLC</t>
  </si>
  <si>
    <t>Schreiner Energies Inc</t>
  </si>
  <si>
    <t>Bosselman Energy Inc</t>
  </si>
  <si>
    <t>Propane business</t>
  </si>
  <si>
    <t>Yotes Inc,Virginia retail operations of Southern Max LLC</t>
  </si>
  <si>
    <t>HHC Welding Supplies Inc</t>
  </si>
  <si>
    <t>King Oil Co Inc</t>
  </si>
  <si>
    <t>Huayi Brothers Media Corp</t>
  </si>
  <si>
    <t>Studio 8 Inc</t>
  </si>
  <si>
    <t>Honolulu Buick GMC Cadillac,Honolulu Volkswagen</t>
  </si>
  <si>
    <t>Scottsburg Healthcare Center</t>
  </si>
  <si>
    <t>Great Prairie Energy Services Inc</t>
  </si>
  <si>
    <t>Green Dog Inc</t>
  </si>
  <si>
    <t>Dax LLC</t>
  </si>
  <si>
    <t>Sleep Experts Partners LP</t>
  </si>
  <si>
    <t>K-Y brand global rights</t>
  </si>
  <si>
    <t>Google Inc,Warner Bros Entertainment Inc,MK Capital Co,Redpoint Ventures LLC (Fund: Redpoi...</t>
  </si>
  <si>
    <t>Machinima Inc</t>
  </si>
  <si>
    <t>Moxie USA LLC</t>
  </si>
  <si>
    <t>Affinity Mediaworks Corp</t>
  </si>
  <si>
    <t>Petco Animal Supplies Inc,Menlo Ventures (Fund: Menlo Talent Fund),Madrona Venture Group L...</t>
  </si>
  <si>
    <t>A Place for Rover Inc</t>
  </si>
  <si>
    <t>Mountain High Acquisitions Corp</t>
  </si>
  <si>
    <t>Canna-Life Corp</t>
  </si>
  <si>
    <t>Joerns Healthcare Inc</t>
  </si>
  <si>
    <t>Akin Industries</t>
  </si>
  <si>
    <t>Furnishing business</t>
  </si>
  <si>
    <t>BMW of Greenwich</t>
  </si>
  <si>
    <t>GemGroup Inc</t>
  </si>
  <si>
    <t>Circa Inc</t>
  </si>
  <si>
    <t>Portero Inc</t>
  </si>
  <si>
    <t>Encore Consumer Capital</t>
  </si>
  <si>
    <t>Kose Corp</t>
  </si>
  <si>
    <t>Tarte Inc</t>
  </si>
  <si>
    <t>Bregal Investments LLP</t>
  </si>
  <si>
    <t>Armored Autogroup Inc</t>
  </si>
  <si>
    <t>IDQ Acquisition Corp</t>
  </si>
  <si>
    <t>Draw Another Circle LLC</t>
  </si>
  <si>
    <t>Hastings Entertainment Inc/United States</t>
  </si>
  <si>
    <t>Gaiam subscription unit</t>
  </si>
  <si>
    <t>Williston Holding Co Inc</t>
  </si>
  <si>
    <t>First Guard Insurance Co</t>
  </si>
  <si>
    <t>Viewpon Holdings Inc</t>
  </si>
  <si>
    <t>FMC Technologies Inc</t>
  </si>
  <si>
    <t>Syntron Material Handling LLC</t>
  </si>
  <si>
    <t>Material handling products business</t>
  </si>
  <si>
    <t>William Morris Endeavor Entertainment LLC,Manatt Digital Media Ventures</t>
  </si>
  <si>
    <t>Trailerpop Inc</t>
  </si>
  <si>
    <t>ANN INC</t>
  </si>
  <si>
    <t>Tribeca Enterprises LLC</t>
  </si>
  <si>
    <t>Club O</t>
  </si>
  <si>
    <t>Fisher Auto Parts Inc</t>
  </si>
  <si>
    <t>KOI Auto Parts</t>
  </si>
  <si>
    <t>Opticard Payment Services Inc</t>
  </si>
  <si>
    <t>Intel Corp</t>
  </si>
  <si>
    <t>Swan Concepts Inc</t>
  </si>
  <si>
    <t>4 Red Robin restaurants</t>
  </si>
  <si>
    <t>Downtown Records LLC</t>
  </si>
  <si>
    <t>Acquirer Industry Sector</t>
  </si>
  <si>
    <t>Seller Industry Sector</t>
  </si>
  <si>
    <t>Target Industry Sector</t>
  </si>
  <si>
    <t>Seller EV To Trailg 12M EBITDA</t>
  </si>
  <si>
    <t>Seller EV To Trailg 12M Sales</t>
  </si>
  <si>
    <t>Target EV To Trailg 12M EBITDA</t>
  </si>
  <si>
    <t>Target EV To Trailg 12M Sales</t>
  </si>
  <si>
    <t>Deal Status</t>
  </si>
  <si>
    <t>Payment Type</t>
  </si>
  <si>
    <t>Announced Total Value (mil.)</t>
  </si>
  <si>
    <t>Seller Name</t>
  </si>
  <si>
    <t>Acquirer Name</t>
  </si>
  <si>
    <t>Target Name</t>
  </si>
  <si>
    <t>Announce Date</t>
  </si>
  <si>
    <t>Deal Type</t>
  </si>
  <si>
    <t xml:space="preserve">RGS </t>
  </si>
  <si>
    <t xml:space="preserve">ULTA </t>
  </si>
  <si>
    <t xml:space="preserve">OUTR </t>
  </si>
  <si>
    <t xml:space="preserve">SBH </t>
  </si>
  <si>
    <t xml:space="preserve">AAP </t>
  </si>
  <si>
    <t xml:space="preserve">BYD </t>
  </si>
  <si>
    <t xml:space="preserve">EAT </t>
  </si>
  <si>
    <t xml:space="preserve">CBRL </t>
  </si>
  <si>
    <t xml:space="preserve">DIN </t>
  </si>
  <si>
    <t xml:space="preserve">FOSL </t>
  </si>
  <si>
    <t xml:space="preserve">FRED </t>
  </si>
  <si>
    <t xml:space="preserve">GMCR </t>
  </si>
  <si>
    <t xml:space="preserve">HRB </t>
  </si>
  <si>
    <t xml:space="preserve">JACK </t>
  </si>
  <si>
    <t xml:space="preserve">PNRA </t>
  </si>
  <si>
    <t xml:space="preserve">PENN </t>
  </si>
  <si>
    <t xml:space="preserve">REV </t>
  </si>
  <si>
    <t xml:space="preserve">SCI </t>
  </si>
  <si>
    <t xml:space="preserve">CAKE </t>
  </si>
  <si>
    <t>Ulta Salon Cosmetics &amp; Fragrance</t>
  </si>
  <si>
    <t>Outerwall</t>
  </si>
  <si>
    <t>Sally Beauty Holdings</t>
  </si>
  <si>
    <t>Advance Auto Parts</t>
  </si>
  <si>
    <t>Boyd Gaming</t>
  </si>
  <si>
    <t>Brinker International</t>
  </si>
  <si>
    <t>Cracker Barrel Old Country Store</t>
  </si>
  <si>
    <t>DineEquity</t>
  </si>
  <si>
    <t>Fossil Group</t>
  </si>
  <si>
    <t>Fred's Inc. (Class A)</t>
  </si>
  <si>
    <t>Keurig Green Mountain</t>
  </si>
  <si>
    <t>H&amp;R Block</t>
  </si>
  <si>
    <t>Jack in the Box</t>
  </si>
  <si>
    <t>Panera Bread Company</t>
  </si>
  <si>
    <t>Penn National Gaming</t>
  </si>
  <si>
    <t>Revlon</t>
  </si>
  <si>
    <t>Service Corp Internationa</t>
  </si>
  <si>
    <t>The Cheesecake Factory</t>
  </si>
  <si>
    <t>Enterprise</t>
  </si>
  <si>
    <t>Equity value</t>
  </si>
  <si>
    <t>Enterprise value</t>
  </si>
  <si>
    <t>EV/EBITDA</t>
  </si>
  <si>
    <t>EV/Sales</t>
  </si>
  <si>
    <t>Cash assumed</t>
  </si>
  <si>
    <t>Assumed # of RGS shares</t>
  </si>
  <si>
    <t>Value of Regis Corp. assets</t>
  </si>
  <si>
    <t>Assumed takeout value of 5% convertible notes</t>
  </si>
  <si>
    <t>Assumed annual depreciation and amortization</t>
  </si>
  <si>
    <t>Values</t>
  </si>
  <si>
    <t>Formulas</t>
  </si>
  <si>
    <t>Median</t>
  </si>
  <si>
    <t>Average</t>
  </si>
  <si>
    <t>Regis Corp.</t>
  </si>
  <si>
    <t>Source: Bloomberg M&amp;A database</t>
  </si>
  <si>
    <t>Source: Bloomberg, SEC filings</t>
  </si>
  <si>
    <t>Unallocated corporate</t>
  </si>
  <si>
    <t>Operating income (loss)</t>
  </si>
  <si>
    <t>Reference:</t>
  </si>
  <si>
    <t>Average ticket</t>
  </si>
  <si>
    <t>% service sales assumed</t>
  </si>
  <si>
    <t>Goodwill impairment charge</t>
  </si>
  <si>
    <t>Gross profit</t>
  </si>
  <si>
    <t>Total cost of sales</t>
  </si>
  <si>
    <t>Adjusted EBIT</t>
  </si>
  <si>
    <t>Avg. Regis Salons open during period</t>
  </si>
  <si>
    <t>Avg. chain-wide corporate salons open during period</t>
  </si>
  <si>
    <t>Square feet per mall store</t>
  </si>
  <si>
    <t>Add: D&amp;A</t>
  </si>
  <si>
    <t>Adjusted EBITDA</t>
  </si>
  <si>
    <t>Number of hairstyling guests per quarter</t>
  </si>
  <si>
    <t>Days in quarter</t>
  </si>
  <si>
    <t>Previously reported Regis Salons revenue</t>
  </si>
  <si>
    <t>Average service sales per guest</t>
  </si>
  <si>
    <t>Dec. 31, 2013</t>
  </si>
  <si>
    <t>YoY growth in service sales per guest</t>
  </si>
  <si>
    <t>Cost of service % of sales</t>
  </si>
  <si>
    <t>Cost of product % of sales</t>
  </si>
  <si>
    <t>Site operating expenses per day</t>
  </si>
  <si>
    <t>Depreciation and amortization per day</t>
  </si>
  <si>
    <t>Number of hairstyling guests per year</t>
  </si>
  <si>
    <t>YoY growth in site opex per day</t>
  </si>
  <si>
    <t>Mall salon income statement ($ millions)</t>
  </si>
  <si>
    <t>Less: total goodwill</t>
  </si>
  <si>
    <t>Less: estimated book value of international assets</t>
  </si>
  <si>
    <t>Less: equity investments</t>
  </si>
  <si>
    <t>Total NA assets (excl. goodwill &amp; equity investments)</t>
  </si>
  <si>
    <t>Estimated Regis Salons book value</t>
  </si>
  <si>
    <r>
      <rPr>
        <sz val="11"/>
        <color theme="0"/>
        <rFont val="Calibri"/>
        <family val="2"/>
        <scheme val="minor"/>
      </rPr>
      <t>*</t>
    </r>
    <r>
      <rPr>
        <sz val="11"/>
        <rFont val="Calibri"/>
        <family val="2"/>
        <scheme val="minor"/>
      </rPr>
      <t>Source:</t>
    </r>
    <r>
      <rPr>
        <sz val="11"/>
        <color theme="0"/>
        <rFont val="Calibri"/>
        <family val="2"/>
        <scheme val="minor"/>
      </rPr>
      <t xml:space="preserve"> </t>
    </r>
    <r>
      <rPr>
        <sz val="11"/>
        <color theme="1"/>
        <rFont val="Calibri"/>
        <family val="2"/>
        <scheme val="minor"/>
      </rPr>
      <t>http://www.sec.gov/Archives/edgar/data/716643/000104746913008949/0001047469-13-008949-index.htm, Bloomberg</t>
    </r>
  </si>
  <si>
    <t>Mar. 31, 2014</t>
  </si>
  <si>
    <t>Quarter ended</t>
  </si>
  <si>
    <t>5.75% senior term notes due Dec. 2017</t>
  </si>
  <si>
    <t>Total company-owned North American salons</t>
  </si>
  <si>
    <t>New operating segments ($ millions)</t>
  </si>
  <si>
    <t>Income statement ($ millions)</t>
  </si>
  <si>
    <t>Cash flow statement ($ millions)</t>
  </si>
  <si>
    <t>Average mall salon income ($)</t>
  </si>
  <si>
    <t>Interest on loans</t>
  </si>
  <si>
    <t>Facility Fees</t>
  </si>
  <si>
    <t>Value of interest-free current liabilities</t>
  </si>
  <si>
    <t>Average mall salon income per day ($)</t>
  </si>
  <si>
    <t>Currency Adjusted Enterprise Value</t>
  </si>
  <si>
    <t>Net Sales T12M</t>
  </si>
  <si>
    <t>Updated May 8, 2014</t>
  </si>
  <si>
    <t>Inflation assumed</t>
  </si>
  <si>
    <t>GBP-USD assumed</t>
  </si>
  <si>
    <t>Other acquisitions capex allocated to goodwill</t>
  </si>
  <si>
    <t>Acquired franchise capex allocated to goodwill</t>
  </si>
  <si>
    <t>Total other current assets</t>
  </si>
  <si>
    <t>Revenue</t>
  </si>
  <si>
    <t>Cost of service and product</t>
  </si>
  <si>
    <t>Operating expense</t>
  </si>
  <si>
    <t>Salon count</t>
  </si>
  <si>
    <t>Invested capital</t>
  </si>
  <si>
    <t>Number of hairstyling guests per salon per day</t>
  </si>
  <si>
    <t>YoY growth in hairstyling guests per salon per day</t>
  </si>
  <si>
    <t>Average product sales per salon per day</t>
  </si>
  <si>
    <t>YoY growth in product sales per salon per day</t>
  </si>
  <si>
    <t>Regis Salons invested capital</t>
  </si>
  <si>
    <t>Target pre-tax return on invested capital (ROIC)</t>
  </si>
  <si>
    <t>Forward 12 month EBIT check</t>
  </si>
  <si>
    <t>Assumed annual D&amp;A</t>
  </si>
  <si>
    <t>% of consolidated revenue</t>
  </si>
  <si>
    <t xml:space="preserve">In the case the turnaround doesn't succeed, Regis Corp. management might pledge to its stylists: </t>
  </si>
  <si>
    <t>However, if the current turnaround strategy doesn't succeed, it's likely due to stylist incentive misalignment…which appears reparable</t>
  </si>
  <si>
    <t>*Pro rata based on an individual salon's EBIT contribution to Regis. Corp.'s consolidated company-owned salon EBIT (excluding corporate overhead)</t>
  </si>
  <si>
    <t>Total salon sales</t>
  </si>
  <si>
    <t>Average check</t>
  </si>
  <si>
    <t>Avg. product check</t>
  </si>
  <si>
    <t>Avg. service (hairstyling) check</t>
  </si>
  <si>
    <t>Target Regis Salons annual EBIT</t>
  </si>
  <si>
    <t>% service sales to corporate</t>
  </si>
  <si>
    <t>% of product gross profit rebate</t>
  </si>
  <si>
    <t>% of service revenue rebate</t>
  </si>
  <si>
    <t>guests per day</t>
  </si>
  <si>
    <t>alien capital guest trigger</t>
  </si>
  <si>
    <t>% gross margin on products</t>
  </si>
  <si>
    <t>commission % on product sales</t>
  </si>
  <si>
    <t>% of avg. check captured by alienated stylists</t>
  </si>
  <si>
    <t>% of avg. check captured by current stylists</t>
  </si>
  <si>
    <t>Salon team hours check</t>
  </si>
  <si>
    <t>Guerilla mall marketing</t>
  </si>
  <si>
    <t>Perhaps each salon team could vote on rebate splits independently with either full discretion or within pre-determined bands?</t>
  </si>
  <si>
    <t>Charitable donations to causes chosen by the salon teams</t>
  </si>
  <si>
    <t>…which compares to a current 10%-20% sales gap b/w corporate and franchisee/competitor salons</t>
  </si>
  <si>
    <t>*Current median EV/EBITDA multiple of 10.2x for comps identified in Regis' proxy / Retail and restaurant buyouts at ~8.0x-10.0x in last 5 years</t>
  </si>
  <si>
    <t>Regis Salons' invested capital (est.)</t>
  </si>
  <si>
    <t>Pre-tax return on invested capital (ROIC)</t>
  </si>
  <si>
    <t>EBIT (absolute value)</t>
  </si>
  <si>
    <t>*Average guest ticket of $43 last disclosed in FY2012 10-K</t>
  </si>
  <si>
    <t>Looked at average salon, but does the underperforming salon that reacts first still get the rebates if the chain is still losing cash?</t>
  </si>
  <si>
    <t>Do the outperforming salons already meeting or exceeding the required guest count for the average salon earn the rebate immediately?</t>
  </si>
  <si>
    <t>Perhaps you partner outperforming salons with underperforming salons and require convergence to trigger the pair's rebates?</t>
  </si>
  <si>
    <t>Balance sheet ($ millions)</t>
  </si>
  <si>
    <t>As an owner of the struggling Regis mall salon concept, how much contingent upside would you give away to minimize the risk of chain failure?</t>
  </si>
  <si>
    <t>Adjusted EBIT in the past 12 months</t>
  </si>
  <si>
    <t>What is the minimum acceptable ROIC for the Regis Salons chain &amp; how many additional daily guests will be required to achieve it?</t>
  </si>
  <si>
    <t>Salon rebate impact on salon team compensation</t>
  </si>
  <si>
    <t>Total salon rebate</t>
  </si>
  <si>
    <t>Mall salon operating assumptions</t>
  </si>
  <si>
    <t>Asset build</t>
  </si>
  <si>
    <t>Liability build</t>
  </si>
  <si>
    <t>Company-owned salon count</t>
  </si>
  <si>
    <t>Franchised salon count</t>
  </si>
  <si>
    <t>Salon-level capex (let them paint / decorate?)</t>
  </si>
  <si>
    <t>With management's pledge, would stylists be incentivized to quickly grow EBITDA and the RGS share price?</t>
  </si>
  <si>
    <t>Cash to stylist who performed service or sold product</t>
  </si>
  <si>
    <t>Cash to manager (in addition to current incentive compensation)</t>
  </si>
  <si>
    <t xml:space="preserve">Contribution to employee health care plan </t>
  </si>
  <si>
    <t>Cash to other stylists (split equally based on proportion of total salon hours worked?)</t>
  </si>
  <si>
    <t>Holding product sales constant, how many additional service guests per salon per day needed to hit target EBIT?</t>
  </si>
  <si>
    <t>Free cash flow to equity</t>
  </si>
  <si>
    <t>Regis. Corp. insurance? / valuation</t>
  </si>
  <si>
    <t>Period</t>
  </si>
  <si>
    <t>Discount rate (annual)</t>
  </si>
  <si>
    <t>Undiscounted free cash flow to equity</t>
  </si>
  <si>
    <t>Discounted free cash flow to equity</t>
  </si>
  <si>
    <t>Terminal Equity / FCF multiple</t>
  </si>
  <si>
    <t>Undiscounted terminal equity value</t>
  </si>
  <si>
    <t>Discounted terminal equity value</t>
  </si>
  <si>
    <t>PV of future free cash flow to equity</t>
  </si>
  <si>
    <t>Add: excess cash</t>
  </si>
  <si>
    <t>Diluted shares outstanding</t>
  </si>
  <si>
    <t>Implied value per share</t>
  </si>
  <si>
    <t>Implied shareholder return / (loss)</t>
  </si>
  <si>
    <t>Discounted FCFE value</t>
  </si>
  <si>
    <t>Add: debt</t>
  </si>
  <si>
    <t>Implied enterprise value</t>
  </si>
  <si>
    <t>LTM EBITDA</t>
  </si>
  <si>
    <t>12M fwd EBITDA</t>
  </si>
  <si>
    <t>Current price per share</t>
  </si>
  <si>
    <t>Less: excess cash</t>
  </si>
  <si>
    <t>Number of salons</t>
  </si>
  <si>
    <t>Average sales</t>
  </si>
  <si>
    <t>Top 3rd</t>
  </si>
  <si>
    <t>Middle 3rd</t>
  </si>
  <si>
    <t>Bottom 3rd</t>
  </si>
  <si>
    <t>All franchised Supercuts</t>
  </si>
  <si>
    <t>All corporate Supercuts</t>
  </si>
  <si>
    <t>All salons</t>
  </si>
  <si>
    <t>Service sales</t>
  </si>
  <si>
    <t>Product sales</t>
  </si>
  <si>
    <t>Expenses</t>
  </si>
  <si>
    <t>Sales</t>
  </si>
  <si>
    <t>Labor</t>
  </si>
  <si>
    <t>Occupancy</t>
  </si>
  <si>
    <t>Products</t>
  </si>
  <si>
    <t>Continuing Franchise Fees</t>
  </si>
  <si>
    <t>Advertising</t>
  </si>
  <si>
    <t>Total expenses</t>
  </si>
  <si>
    <t>Operating cash flow</t>
  </si>
  <si>
    <t>Cost of product as a % product sales</t>
  </si>
  <si>
    <t>Cost of labor % of service sales</t>
  </si>
  <si>
    <t>Assumed price for a SuperCuts haircut</t>
  </si>
  <si>
    <t>Assumed days open per year</t>
  </si>
  <si>
    <t>Guest count per day</t>
  </si>
  <si>
    <t>Product sold per guest</t>
  </si>
  <si>
    <t>Service sales per day</t>
  </si>
  <si>
    <t>Product sales per day</t>
  </si>
  <si>
    <t>Sales per day</t>
  </si>
  <si>
    <t>Total sales per day</t>
  </si>
  <si>
    <t>Expenses per day</t>
  </si>
  <si>
    <t>Total expenses per day</t>
  </si>
  <si>
    <t>Operating cash flow per day</t>
  </si>
  <si>
    <t>Product sales as a % of total sales</t>
  </si>
  <si>
    <t>Estimated annual pay for Supercuts salon manager</t>
  </si>
  <si>
    <t>Split with stylists</t>
  </si>
  <si>
    <t>Franchised salons (open at least 2 years)</t>
  </si>
  <si>
    <t>Corporate salons (open at least 2 years)</t>
  </si>
  <si>
    <t>Source: Supercuts Franchise Disclosure Document (2013)</t>
  </si>
  <si>
    <t>Price for a SuperCuts haircut</t>
  </si>
  <si>
    <t>Days per year salon is open</t>
  </si>
  <si>
    <t>Continuing franchise fees</t>
  </si>
  <si>
    <t>Add back: Continuing franchise fees</t>
  </si>
  <si>
    <t>Add back: Continuing franchise fees per day</t>
  </si>
  <si>
    <t>Operating cash flow per day if franchise salon were corporate</t>
  </si>
  <si>
    <t>Operating cash flow if franchise salon were corporate</t>
  </si>
  <si>
    <t>Operating cash flow per corporate salon</t>
  </si>
  <si>
    <t>Though salons in this segment operate under different nameplates (i.e. Supercuts, Pro-Cuts), there is little difference across the salons</t>
  </si>
  <si>
    <t>…I assume a portion of this ~$20k unpaid franchise fee is being used to attract and retain field leaders that can drive corporate salon sales convergence</t>
  </si>
  <si>
    <t>…since these salons are already performing well and are required to pay a similar ~$20k per year in franchise fees?</t>
  </si>
  <si>
    <t>Corporate Supercuts: avg. salon income statement (common size)</t>
  </si>
  <si>
    <t>Corporate Supercuts: avg. salon income statement (daily)</t>
  </si>
  <si>
    <t>Advertising % of sales</t>
  </si>
  <si>
    <t>Continuing Franchise Fee % of sales</t>
  </si>
  <si>
    <t>Assumptions: franchised Supercuts income statement</t>
  </si>
  <si>
    <t>Supercuts avg. unit sales @ June 30, 2012 (franchised vs. corporate)</t>
  </si>
  <si>
    <t>Given Regis management's finding that the Salon Manager and District Leader (oversees 5-8 salons in one area) are the key drivers of value salon success…</t>
  </si>
  <si>
    <t>*Current med. EV/EBITDA multiple of 10.2x for comps identified in Regis' proxy; retail and restaurant buyouts at ~8.0x-10.0x in last 5 years, Regis at 6.5x</t>
  </si>
  <si>
    <t>Franchised Supercuts: avg. salon income statement (annual, estimated)</t>
  </si>
  <si>
    <t>Corporate Supercuts: avg. salon income statement (annual)</t>
  </si>
  <si>
    <t>**Assumes $172.5m in market value of 5% convertible notes due July 2014 are settled pre-turnaround using a portion of $361m in current cash</t>
  </si>
  <si>
    <t>Can a portion of what would have been franchise fees be used to incentivize sales convergence between Regis Corp.'s corporate and franchised value salons?</t>
  </si>
  <si>
    <t>Regis Corp. valuation upon successful turnaround of North American value salons</t>
  </si>
  <si>
    <t>Would it be difficult for competing franchised value salons (i.e. Great Clips &amp; Sports Clips) to offer this contingenent pay to their field leaders…</t>
  </si>
  <si>
    <t>Jun. 30, 2014</t>
  </si>
  <si>
    <t>Total company assets</t>
  </si>
  <si>
    <t>Promenade ("Other Value")</t>
  </si>
  <si>
    <t>Sept. 30, 2014</t>
  </si>
  <si>
    <t>Less: cash adjustment</t>
  </si>
  <si>
    <t>Alien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</si>
</sst>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7" formatCode="&quot;$&quot;#,##0.00_);\(&quot;$&quot;#,##0.00\)"/>
    <numFmt numFmtId="44" formatCode="_(&quot;$&quot;* #,##0.00_);_(&quot;$&quot;* \(#,##0.00\);_(&quot;$&quot;* &quot;-&quot;??_);_(@_)"/>
    <numFmt numFmtId="43" formatCode="_(* #,##0.00_);_(* \(#,##0.00\);_(* &quot;-&quot;??_);_(@_)"/>
    <numFmt numFmtId="164" formatCode="_-* #,##0.00_-;\-* #,##0.00_-;_-* &quot;-&quot;??_-;_-@_-"/>
    <numFmt numFmtId="165" formatCode="#,##0.00##_);[Red]\(#,##0.00##\)"/>
    <numFmt numFmtId="166" formatCode="&quot;$&quot;#,##0.00"/>
    <numFmt numFmtId="167" formatCode="#,##0.0_);\(#,##0.0\)"/>
    <numFmt numFmtId="168" formatCode="0.0%"/>
    <numFmt numFmtId="169" formatCode="0.0"/>
    <numFmt numFmtId="170" formatCode="&quot;$&quot;#,##0"/>
    <numFmt numFmtId="171" formatCode="#,##0.0"/>
    <numFmt numFmtId="172" formatCode="0.0000%"/>
    <numFmt numFmtId="173" formatCode="0.0000"/>
    <numFmt numFmtId="174" formatCode="0.0\x"/>
    <numFmt numFmtId="175" formatCode="0.000"/>
    <numFmt numFmtId="176" formatCode="#,##0.000_);\(#,##0.000\)"/>
    <numFmt numFmtId="177" formatCode="#,##0.0000000_);\(#,##0.0000000\)"/>
    <numFmt numFmtId="178" formatCode="#,##0.0_);\(#,##0.0\);0_._0_)"/>
    <numFmt numFmtId="179" formatCode="0.000%"/>
    <numFmt numFmtId="180" formatCode="0.0_);\(0.0\)"/>
    <numFmt numFmtId="181" formatCode="\+0"/>
    <numFmt numFmtId="182" formatCode="&quot;$&quot;#,##0.0"/>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u/>
      <sz val="11"/>
      <color indexed="12"/>
      <name val="Calibri"/>
      <family val="2"/>
    </font>
    <font>
      <b/>
      <sz val="14"/>
      <name val="Calibri"/>
      <family val="2"/>
    </font>
    <font>
      <sz val="8"/>
      <name val="Arial"/>
      <family val="2"/>
    </font>
    <font>
      <sz val="11"/>
      <color indexed="8"/>
      <name val="Calibri"/>
      <family val="2"/>
    </font>
    <font>
      <sz val="11"/>
      <color theme="1"/>
      <name val="Calibri"/>
      <family val="2"/>
      <scheme val="minor"/>
    </font>
    <font>
      <sz val="10"/>
      <name val="Calibri"/>
      <family val="2"/>
      <scheme val="minor"/>
    </font>
    <font>
      <sz val="10"/>
      <color theme="0"/>
      <name val="Calibri"/>
      <family val="2"/>
      <scheme val="minor"/>
    </font>
    <font>
      <b/>
      <sz val="10"/>
      <color theme="0"/>
      <name val="Calibri"/>
      <family val="2"/>
      <scheme val="minor"/>
    </font>
    <font>
      <b/>
      <sz val="10"/>
      <name val="Calibri"/>
      <family val="2"/>
      <scheme val="minor"/>
    </font>
    <font>
      <sz val="10"/>
      <color theme="1"/>
      <name val="Arial"/>
      <family val="2"/>
    </font>
    <font>
      <b/>
      <sz val="11"/>
      <color theme="0"/>
      <name val="Calibri"/>
      <family val="2"/>
      <scheme val="minor"/>
    </font>
    <font>
      <b/>
      <sz val="11"/>
      <color theme="1"/>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sz val="11"/>
      <color theme="0" tint="-0.14999847407452621"/>
      <name val="Calibri"/>
      <family val="2"/>
      <scheme val="minor"/>
    </font>
    <font>
      <sz val="11"/>
      <color theme="3" tint="0.39997558519241921"/>
      <name val="Calibri"/>
      <family val="2"/>
      <scheme val="minor"/>
    </font>
    <font>
      <b/>
      <sz val="11"/>
      <color theme="3" tint="0.39997558519241921"/>
      <name val="Calibri"/>
      <family val="2"/>
      <scheme val="minor"/>
    </font>
    <font>
      <u/>
      <sz val="11"/>
      <color theme="1"/>
      <name val="Calibri"/>
      <family val="2"/>
      <scheme val="minor"/>
    </font>
    <font>
      <sz val="10"/>
      <name val="Arial"/>
      <family val="2"/>
    </font>
    <font>
      <i/>
      <sz val="11"/>
      <color theme="1"/>
      <name val="Calibri"/>
      <family val="2"/>
      <scheme val="minor"/>
    </font>
    <font>
      <sz val="11"/>
      <color theme="2" tint="-0.499984740745262"/>
      <name val="Calibri"/>
      <family val="2"/>
      <scheme val="minor"/>
    </font>
    <font>
      <sz val="11"/>
      <color theme="0"/>
      <name val="Calibri"/>
      <family val="2"/>
      <scheme val="minor"/>
    </font>
    <font>
      <sz val="11"/>
      <color theme="0" tint="-0.34998626667073579"/>
      <name val="Calibri"/>
      <family val="2"/>
      <scheme val="minor"/>
    </font>
    <font>
      <sz val="11"/>
      <color theme="0" tint="-0.249977111117893"/>
      <name val="Calibri"/>
      <family val="2"/>
      <scheme val="minor"/>
    </font>
    <font>
      <b/>
      <sz val="10"/>
      <color indexed="18"/>
      <name val="Arial"/>
      <family val="2"/>
    </font>
    <font>
      <b/>
      <sz val="11"/>
      <color indexed="9"/>
      <name val="Calibri"/>
      <family val="2"/>
      <scheme val="minor"/>
    </font>
    <font>
      <sz val="11"/>
      <color rgb="FF5AAFE4"/>
      <name val="Calibri"/>
      <family val="2"/>
      <scheme val="minor"/>
    </font>
    <font>
      <sz val="11"/>
      <color rgb="FF178ED7"/>
      <name val="Calibri"/>
      <family val="2"/>
      <scheme val="minor"/>
    </font>
    <font>
      <sz val="11"/>
      <color theme="0" tint="-0.499984740745262"/>
      <name val="Calibri"/>
      <family val="2"/>
      <scheme val="minor"/>
    </font>
    <font>
      <b/>
      <sz val="11"/>
      <color theme="0" tint="-0.499984740745262"/>
      <name val="Calibri"/>
      <family val="2"/>
      <scheme val="minor"/>
    </font>
    <font>
      <b/>
      <u/>
      <sz val="11"/>
      <name val="Calibri"/>
      <family val="2"/>
      <scheme val="minor"/>
    </font>
    <font>
      <sz val="11"/>
      <color theme="3" tint="0.59999389629810485"/>
      <name val="Calibri"/>
      <family val="2"/>
      <scheme val="minor"/>
    </font>
    <font>
      <sz val="11"/>
      <color rgb="FF55B3ED"/>
      <name val="Calibri"/>
      <family val="2"/>
      <scheme val="minor"/>
    </font>
    <font>
      <u/>
      <sz val="10"/>
      <color theme="10"/>
      <name val="Arial"/>
    </font>
  </fonts>
  <fills count="11">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9" tint="0.59999389629810485"/>
        <bgColor indexed="64"/>
      </patternFill>
    </fill>
    <fill>
      <patternFill patternType="solid">
        <fgColor theme="3"/>
        <bgColor indexed="64"/>
      </patternFill>
    </fill>
    <fill>
      <patternFill patternType="solid">
        <fgColor theme="0" tint="-0.14999847407452621"/>
        <bgColor indexed="64"/>
      </patternFill>
    </fill>
    <fill>
      <patternFill patternType="solid">
        <fgColor rgb="FF3FFF96"/>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00"/>
        <bgColor indexed="64"/>
      </patternFill>
    </fill>
  </fills>
  <borders count="19">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2">
    <xf numFmtId="0" fontId="0" fillId="0" borderId="0"/>
    <xf numFmtId="43" fontId="37" fillId="0" borderId="0" applyFont="0" applyFill="0" applyBorder="0" applyAlignment="0" applyProtection="0"/>
    <xf numFmtId="164" fontId="39" fillId="0" borderId="0" applyFont="0" applyFill="0" applyBorder="0" applyAlignment="0" applyProtection="0"/>
    <xf numFmtId="0" fontId="40" fillId="0" borderId="0" applyNumberFormat="0" applyFill="0" applyBorder="0" applyAlignment="0" applyProtection="0">
      <alignment vertical="top"/>
      <protection locked="0"/>
    </xf>
    <xf numFmtId="0" fontId="44" fillId="0" borderId="0"/>
    <xf numFmtId="165" fontId="43" fillId="0" borderId="0"/>
    <xf numFmtId="0" fontId="49" fillId="0" borderId="0"/>
    <xf numFmtId="9" fontId="37" fillId="0" borderId="0" applyFont="0" applyFill="0" applyBorder="0" applyAlignment="0" applyProtection="0"/>
    <xf numFmtId="44" fontId="60" fillId="0" borderId="0" applyFont="0" applyFill="0" applyBorder="0" applyAlignment="0" applyProtection="0"/>
    <xf numFmtId="0" fontId="28" fillId="0" borderId="0"/>
    <xf numFmtId="0" fontId="66" fillId="0" borderId="12" applyNumberFormat="0" applyFill="0" applyProtection="0">
      <alignment horizontal="center"/>
    </xf>
    <xf numFmtId="0" fontId="75" fillId="0" borderId="0" applyNumberFormat="0" applyFill="0" applyBorder="0" applyAlignment="0" applyProtection="0"/>
  </cellStyleXfs>
  <cellXfs count="637">
    <xf numFmtId="0" fontId="0" fillId="0" borderId="0" xfId="0"/>
    <xf numFmtId="0" fontId="41" fillId="2" borderId="0" xfId="0" applyFont="1" applyFill="1"/>
    <xf numFmtId="0" fontId="38" fillId="0" borderId="0" xfId="0" applyFont="1"/>
    <xf numFmtId="0" fontId="45" fillId="0" borderId="0" xfId="0" applyFont="1"/>
    <xf numFmtId="0" fontId="46" fillId="3" borderId="0" xfId="0" applyFont="1" applyFill="1"/>
    <xf numFmtId="0" fontId="45" fillId="4" borderId="0" xfId="0" applyFont="1" applyFill="1"/>
    <xf numFmtId="0" fontId="47" fillId="5" borderId="0" xfId="0" applyFont="1" applyFill="1"/>
    <xf numFmtId="0" fontId="48" fillId="0" borderId="0" xfId="0" applyFont="1"/>
    <xf numFmtId="14" fontId="38" fillId="0" borderId="0" xfId="0" applyNumberFormat="1" applyFont="1"/>
    <xf numFmtId="0" fontId="51" fillId="0" borderId="0" xfId="0" applyFont="1"/>
    <xf numFmtId="0" fontId="51" fillId="0" borderId="0" xfId="0" applyFont="1" applyFill="1"/>
    <xf numFmtId="167" fontId="51" fillId="0" borderId="0" xfId="0" applyNumberFormat="1" applyFont="1"/>
    <xf numFmtId="168" fontId="51" fillId="0" borderId="0" xfId="7" applyNumberFormat="1" applyFont="1"/>
    <xf numFmtId="168" fontId="51" fillId="0" borderId="0" xfId="7" applyNumberFormat="1" applyFont="1" applyFill="1"/>
    <xf numFmtId="0" fontId="50" fillId="0" borderId="0" xfId="0" applyFont="1" applyFill="1"/>
    <xf numFmtId="0" fontId="53" fillId="0" borderId="0" xfId="0" applyFont="1"/>
    <xf numFmtId="0" fontId="52" fillId="0" borderId="0" xfId="0" applyFont="1" applyFill="1"/>
    <xf numFmtId="0" fontId="52" fillId="0" borderId="0" xfId="0" applyFont="1"/>
    <xf numFmtId="0" fontId="51" fillId="0" borderId="0" xfId="0" applyFont="1" applyAlignment="1">
      <alignment horizontal="left"/>
    </xf>
    <xf numFmtId="37" fontId="51" fillId="0" borderId="0" xfId="0" applyNumberFormat="1" applyFont="1"/>
    <xf numFmtId="37" fontId="53" fillId="0" borderId="0" xfId="0" applyNumberFormat="1" applyFont="1"/>
    <xf numFmtId="37" fontId="53" fillId="0" borderId="0" xfId="0" applyNumberFormat="1" applyFont="1" applyFill="1"/>
    <xf numFmtId="37" fontId="53" fillId="0" borderId="1" xfId="0" applyNumberFormat="1" applyFont="1" applyBorder="1"/>
    <xf numFmtId="37" fontId="52" fillId="0" borderId="0" xfId="0" applyNumberFormat="1" applyFont="1"/>
    <xf numFmtId="37" fontId="51" fillId="0" borderId="0" xfId="0" applyNumberFormat="1" applyFont="1" applyFill="1"/>
    <xf numFmtId="37" fontId="52" fillId="0" borderId="0" xfId="0" applyNumberFormat="1" applyFont="1" applyFill="1"/>
    <xf numFmtId="0" fontId="51" fillId="6" borderId="2" xfId="0" applyFont="1" applyFill="1" applyBorder="1"/>
    <xf numFmtId="0" fontId="52" fillId="6" borderId="2" xfId="0" applyFont="1" applyFill="1" applyBorder="1"/>
    <xf numFmtId="0" fontId="36" fillId="0" borderId="0" xfId="0" applyFont="1" applyFill="1"/>
    <xf numFmtId="168" fontId="36" fillId="0" borderId="0" xfId="7" applyNumberFormat="1" applyFont="1"/>
    <xf numFmtId="168" fontId="36" fillId="0" borderId="1" xfId="7" applyNumberFormat="1" applyFont="1" applyBorder="1"/>
    <xf numFmtId="0" fontId="36" fillId="0" borderId="0" xfId="6" applyFont="1"/>
    <xf numFmtId="0" fontId="56" fillId="0" borderId="0" xfId="6" applyFont="1"/>
    <xf numFmtId="0" fontId="51" fillId="0" borderId="0" xfId="6" applyFont="1"/>
    <xf numFmtId="14" fontId="51" fillId="0" borderId="0" xfId="6" applyNumberFormat="1" applyFont="1" applyBorder="1" applyAlignment="1">
      <alignment horizontal="right"/>
    </xf>
    <xf numFmtId="14" fontId="51" fillId="0" borderId="0" xfId="6" applyNumberFormat="1" applyFont="1" applyAlignment="1">
      <alignment horizontal="right"/>
    </xf>
    <xf numFmtId="0" fontId="51" fillId="0" borderId="0" xfId="6" applyFont="1" applyAlignment="1">
      <alignment horizontal="right"/>
    </xf>
    <xf numFmtId="14" fontId="36" fillId="0" borderId="0" xfId="6" applyNumberFormat="1" applyFont="1" applyBorder="1"/>
    <xf numFmtId="14" fontId="36" fillId="0" borderId="0" xfId="6" applyNumberFormat="1" applyFont="1"/>
    <xf numFmtId="0" fontId="52" fillId="7" borderId="3" xfId="6" applyFont="1" applyFill="1" applyBorder="1"/>
    <xf numFmtId="0" fontId="53" fillId="7" borderId="4" xfId="6" applyFont="1" applyFill="1" applyBorder="1"/>
    <xf numFmtId="0" fontId="36" fillId="7" borderId="4" xfId="6" applyFont="1" applyFill="1" applyBorder="1"/>
    <xf numFmtId="0" fontId="36" fillId="7" borderId="5" xfId="6" applyFont="1" applyFill="1" applyBorder="1"/>
    <xf numFmtId="0" fontId="36" fillId="0" borderId="0" xfId="6" applyFont="1" applyBorder="1"/>
    <xf numFmtId="169" fontId="36" fillId="0" borderId="0" xfId="6" applyNumberFormat="1" applyFont="1"/>
    <xf numFmtId="169" fontId="36" fillId="0" borderId="1" xfId="6" applyNumberFormat="1" applyFont="1" applyBorder="1"/>
    <xf numFmtId="0" fontId="51" fillId="0" borderId="0" xfId="6" applyFont="1" applyBorder="1"/>
    <xf numFmtId="169" fontId="51" fillId="0" borderId="0" xfId="6" applyNumberFormat="1" applyFont="1"/>
    <xf numFmtId="9" fontId="36" fillId="0" borderId="0" xfId="7" applyFont="1"/>
    <xf numFmtId="169" fontId="36" fillId="0" borderId="0" xfId="6" applyNumberFormat="1" applyFont="1" applyBorder="1"/>
    <xf numFmtId="166" fontId="51" fillId="0" borderId="0" xfId="6" applyNumberFormat="1" applyFont="1" applyBorder="1"/>
    <xf numFmtId="166" fontId="51" fillId="0" borderId="0" xfId="6" applyNumberFormat="1" applyFont="1"/>
    <xf numFmtId="0" fontId="53" fillId="7" borderId="5" xfId="6" applyFont="1" applyFill="1" applyBorder="1"/>
    <xf numFmtId="167" fontId="53" fillId="0" borderId="0" xfId="0" applyNumberFormat="1" applyFont="1"/>
    <xf numFmtId="176" fontId="53" fillId="0" borderId="0" xfId="0" applyNumberFormat="1" applyFont="1"/>
    <xf numFmtId="167" fontId="36" fillId="0" borderId="0" xfId="6" applyNumberFormat="1" applyFont="1"/>
    <xf numFmtId="167" fontId="53" fillId="0" borderId="0" xfId="0" applyNumberFormat="1" applyFont="1" applyBorder="1"/>
    <xf numFmtId="167" fontId="53" fillId="0" borderId="1" xfId="0" applyNumberFormat="1" applyFont="1" applyBorder="1"/>
    <xf numFmtId="176" fontId="53" fillId="0" borderId="1" xfId="0" applyNumberFormat="1" applyFont="1" applyBorder="1"/>
    <xf numFmtId="0" fontId="53" fillId="0" borderId="0" xfId="0" applyFont="1" applyFill="1"/>
    <xf numFmtId="176" fontId="53" fillId="0" borderId="0" xfId="0" applyNumberFormat="1" applyFont="1" applyFill="1"/>
    <xf numFmtId="0" fontId="53" fillId="0" borderId="0" xfId="0" applyFont="1" applyFill="1" applyBorder="1"/>
    <xf numFmtId="167" fontId="36" fillId="0" borderId="1" xfId="6" applyNumberFormat="1" applyFont="1" applyBorder="1"/>
    <xf numFmtId="167" fontId="51" fillId="0" borderId="0" xfId="6" applyNumberFormat="1" applyFont="1"/>
    <xf numFmtId="0" fontId="53" fillId="0" borderId="0" xfId="0" applyFont="1" applyFill="1" applyAlignment="1">
      <alignment horizontal="left" indent="1"/>
    </xf>
    <xf numFmtId="0" fontId="36" fillId="6" borderId="0" xfId="6" applyFont="1" applyFill="1"/>
    <xf numFmtId="37" fontId="53" fillId="0" borderId="1" xfId="0" applyNumberFormat="1" applyFont="1" applyFill="1" applyBorder="1"/>
    <xf numFmtId="37" fontId="36" fillId="0" borderId="0" xfId="6" applyNumberFormat="1" applyFont="1"/>
    <xf numFmtId="37" fontId="36" fillId="0" borderId="1" xfId="6" applyNumberFormat="1" applyFont="1" applyBorder="1"/>
    <xf numFmtId="37" fontId="51" fillId="0" borderId="0" xfId="6" applyNumberFormat="1" applyFont="1"/>
    <xf numFmtId="0" fontId="53" fillId="0" borderId="0" xfId="0" applyFont="1" applyAlignment="1">
      <alignment horizontal="left" indent="1"/>
    </xf>
    <xf numFmtId="167" fontId="36" fillId="0" borderId="0" xfId="6" applyNumberFormat="1" applyFont="1" applyBorder="1"/>
    <xf numFmtId="0" fontId="36" fillId="0" borderId="1" xfId="6" applyFont="1" applyBorder="1"/>
    <xf numFmtId="5" fontId="36" fillId="0" borderId="0" xfId="6" applyNumberFormat="1" applyFont="1"/>
    <xf numFmtId="5" fontId="36" fillId="0" borderId="0" xfId="6" applyNumberFormat="1" applyFont="1" applyFill="1"/>
    <xf numFmtId="5" fontId="36" fillId="0" borderId="0" xfId="6" applyNumberFormat="1" applyFont="1" applyAlignment="1">
      <alignment horizontal="right"/>
    </xf>
    <xf numFmtId="0" fontId="36" fillId="0" borderId="0" xfId="6" applyFont="1" applyAlignment="1">
      <alignment horizontal="left" indent="1"/>
    </xf>
    <xf numFmtId="168" fontId="57" fillId="0" borderId="0" xfId="7" applyNumberFormat="1" applyFont="1"/>
    <xf numFmtId="168" fontId="57" fillId="0" borderId="0" xfId="6" applyNumberFormat="1" applyFont="1"/>
    <xf numFmtId="0" fontId="52" fillId="0" borderId="0" xfId="0" applyFont="1" applyAlignment="1">
      <alignment horizontal="left"/>
    </xf>
    <xf numFmtId="170" fontId="36" fillId="0" borderId="0" xfId="6" applyNumberFormat="1" applyFont="1"/>
    <xf numFmtId="9" fontId="57" fillId="0" borderId="0" xfId="7" applyFont="1"/>
    <xf numFmtId="0" fontId="36" fillId="0" borderId="0" xfId="6" applyFont="1" applyFill="1"/>
    <xf numFmtId="171" fontId="36" fillId="0" borderId="0" xfId="6" applyNumberFormat="1" applyFont="1"/>
    <xf numFmtId="171" fontId="36" fillId="0" borderId="0" xfId="6" applyNumberFormat="1" applyFont="1" applyFill="1"/>
    <xf numFmtId="177" fontId="36" fillId="0" borderId="0" xfId="6" applyNumberFormat="1" applyFont="1"/>
    <xf numFmtId="169" fontId="57" fillId="0" borderId="0" xfId="6" applyNumberFormat="1" applyFont="1"/>
    <xf numFmtId="170" fontId="57" fillId="0" borderId="0" xfId="6" applyNumberFormat="1" applyFont="1"/>
    <xf numFmtId="0" fontId="57" fillId="0" borderId="0" xfId="6" applyFont="1"/>
    <xf numFmtId="171" fontId="53" fillId="0" borderId="0" xfId="6" applyNumberFormat="1" applyFont="1"/>
    <xf numFmtId="171" fontId="57" fillId="0" borderId="0" xfId="6" applyNumberFormat="1" applyFont="1"/>
    <xf numFmtId="171" fontId="51" fillId="0" borderId="0" xfId="6" applyNumberFormat="1" applyFont="1"/>
    <xf numFmtId="167" fontId="52" fillId="0" borderId="0" xfId="0" applyNumberFormat="1" applyFont="1"/>
    <xf numFmtId="167" fontId="57" fillId="0" borderId="1" xfId="6" applyNumberFormat="1" applyFont="1" applyBorder="1"/>
    <xf numFmtId="0" fontId="51" fillId="0" borderId="0" xfId="6" applyFont="1" applyFill="1" applyBorder="1"/>
    <xf numFmtId="166" fontId="57" fillId="0" borderId="0" xfId="6" applyNumberFormat="1" applyFont="1"/>
    <xf numFmtId="174" fontId="57" fillId="0" borderId="0" xfId="6" applyNumberFormat="1" applyFont="1"/>
    <xf numFmtId="174" fontId="58" fillId="0" borderId="0" xfId="6" applyNumberFormat="1" applyFont="1"/>
    <xf numFmtId="170" fontId="52" fillId="0" borderId="0" xfId="6" applyNumberFormat="1" applyFont="1"/>
    <xf numFmtId="173" fontId="36" fillId="0" borderId="0" xfId="6" applyNumberFormat="1" applyFont="1"/>
    <xf numFmtId="172" fontId="36" fillId="0" borderId="0" xfId="7" applyNumberFormat="1" applyFont="1"/>
    <xf numFmtId="0" fontId="36" fillId="0" borderId="0" xfId="6" applyFont="1" applyFill="1" applyBorder="1"/>
    <xf numFmtId="37" fontId="57" fillId="0" borderId="0" xfId="0" applyNumberFormat="1" applyFont="1"/>
    <xf numFmtId="37" fontId="57" fillId="0" borderId="1" xfId="0" applyNumberFormat="1" applyFont="1" applyBorder="1"/>
    <xf numFmtId="0" fontId="53" fillId="0" borderId="0" xfId="6" applyFont="1"/>
    <xf numFmtId="0" fontId="53" fillId="0" borderId="0" xfId="6" applyFont="1" applyFill="1"/>
    <xf numFmtId="37" fontId="53" fillId="0" borderId="0" xfId="0" applyNumberFormat="1" applyFont="1" applyFill="1" applyBorder="1"/>
    <xf numFmtId="37" fontId="57" fillId="0" borderId="0" xfId="0" applyNumberFormat="1" applyFont="1" applyFill="1" applyBorder="1"/>
    <xf numFmtId="169" fontId="36" fillId="0" borderId="0" xfId="6" applyNumberFormat="1" applyFont="1" applyFill="1"/>
    <xf numFmtId="169" fontId="36" fillId="0" borderId="0" xfId="6" applyNumberFormat="1" applyFont="1" applyFill="1" applyBorder="1"/>
    <xf numFmtId="169" fontId="36" fillId="0" borderId="1" xfId="6" applyNumberFormat="1" applyFont="1" applyFill="1" applyBorder="1"/>
    <xf numFmtId="0" fontId="36" fillId="0" borderId="1" xfId="6" applyFont="1" applyFill="1" applyBorder="1"/>
    <xf numFmtId="0" fontId="51" fillId="0" borderId="0" xfId="6" applyFont="1" applyFill="1"/>
    <xf numFmtId="169" fontId="53" fillId="0" borderId="0" xfId="6" applyNumberFormat="1" applyFont="1"/>
    <xf numFmtId="0" fontId="35" fillId="0" borderId="0" xfId="0" applyFont="1"/>
    <xf numFmtId="0" fontId="32" fillId="0" borderId="0" xfId="6" applyFont="1"/>
    <xf numFmtId="10" fontId="36" fillId="0" borderId="0" xfId="7" applyNumberFormat="1" applyFont="1"/>
    <xf numFmtId="0" fontId="31" fillId="0" borderId="0" xfId="6" applyFont="1"/>
    <xf numFmtId="169" fontId="51" fillId="0" borderId="0" xfId="6" applyNumberFormat="1" applyFont="1" applyFill="1"/>
    <xf numFmtId="167" fontId="36" fillId="0" borderId="0" xfId="6" applyNumberFormat="1" applyFont="1" applyFill="1" applyAlignment="1">
      <alignment horizontal="right"/>
    </xf>
    <xf numFmtId="167" fontId="53" fillId="0" borderId="1" xfId="0" applyNumberFormat="1" applyFont="1" applyFill="1" applyBorder="1"/>
    <xf numFmtId="167" fontId="51" fillId="0" borderId="0" xfId="0" applyNumberFormat="1" applyFont="1" applyFill="1"/>
    <xf numFmtId="167" fontId="36" fillId="0" borderId="0" xfId="6" applyNumberFormat="1" applyFont="1" applyFill="1"/>
    <xf numFmtId="0" fontId="31" fillId="0" borderId="0" xfId="6" applyFont="1" applyAlignment="1"/>
    <xf numFmtId="14" fontId="51" fillId="0" borderId="0" xfId="6" applyNumberFormat="1" applyFont="1" applyBorder="1"/>
    <xf numFmtId="14" fontId="51" fillId="0" borderId="0" xfId="6" applyNumberFormat="1" applyFont="1"/>
    <xf numFmtId="169" fontId="30" fillId="0" borderId="0" xfId="6" applyNumberFormat="1" applyFont="1" applyBorder="1"/>
    <xf numFmtId="3" fontId="57" fillId="0" borderId="0" xfId="6" applyNumberFormat="1" applyFont="1" applyFill="1"/>
    <xf numFmtId="166" fontId="36" fillId="0" borderId="0" xfId="6" applyNumberFormat="1" applyFont="1" applyFill="1" applyBorder="1"/>
    <xf numFmtId="174" fontId="57" fillId="0" borderId="0" xfId="6" applyNumberFormat="1" applyFont="1" applyFill="1" applyBorder="1"/>
    <xf numFmtId="9" fontId="36" fillId="0" borderId="0" xfId="7" applyFont="1" applyFill="1" applyBorder="1"/>
    <xf numFmtId="0" fontId="29" fillId="0" borderId="0" xfId="6" applyFont="1" applyFill="1" applyBorder="1"/>
    <xf numFmtId="14" fontId="52" fillId="0" borderId="0" xfId="6" applyNumberFormat="1" applyFont="1" applyAlignment="1">
      <alignment horizontal="right"/>
    </xf>
    <xf numFmtId="14" fontId="53" fillId="0" borderId="0" xfId="6" applyNumberFormat="1" applyFont="1"/>
    <xf numFmtId="14" fontId="52" fillId="0" borderId="0" xfId="6" applyNumberFormat="1" applyFont="1"/>
    <xf numFmtId="166" fontId="52" fillId="0" borderId="0" xfId="6" applyNumberFormat="1" applyFont="1"/>
    <xf numFmtId="0" fontId="53" fillId="0" borderId="0" xfId="6" applyFont="1" applyFill="1" applyBorder="1"/>
    <xf numFmtId="0" fontId="52" fillId="0" borderId="0" xfId="6" applyFont="1" applyFill="1" applyBorder="1"/>
    <xf numFmtId="0" fontId="53" fillId="0" borderId="1" xfId="6" applyFont="1" applyFill="1" applyBorder="1"/>
    <xf numFmtId="0" fontId="52" fillId="0" borderId="0" xfId="6" applyFont="1"/>
    <xf numFmtId="167" fontId="53" fillId="0" borderId="0" xfId="6" applyNumberFormat="1" applyFont="1"/>
    <xf numFmtId="167" fontId="52" fillId="0" borderId="0" xfId="6" applyNumberFormat="1" applyFont="1"/>
    <xf numFmtId="37" fontId="52" fillId="0" borderId="0" xfId="6" applyNumberFormat="1" applyFont="1"/>
    <xf numFmtId="167" fontId="53" fillId="0" borderId="1" xfId="6" applyNumberFormat="1" applyFont="1" applyBorder="1"/>
    <xf numFmtId="5" fontId="53" fillId="0" borderId="0" xfId="6" applyNumberFormat="1" applyFont="1"/>
    <xf numFmtId="168" fontId="53" fillId="0" borderId="0" xfId="7" applyNumberFormat="1" applyFont="1"/>
    <xf numFmtId="170" fontId="53" fillId="0" borderId="0" xfId="6" applyNumberFormat="1" applyFont="1"/>
    <xf numFmtId="168" fontId="53" fillId="0" borderId="1" xfId="7" applyNumberFormat="1" applyFont="1" applyBorder="1"/>
    <xf numFmtId="168" fontId="52" fillId="0" borderId="0" xfId="7" applyNumberFormat="1" applyFont="1"/>
    <xf numFmtId="169" fontId="53" fillId="0" borderId="0" xfId="6" applyNumberFormat="1" applyFont="1" applyFill="1"/>
    <xf numFmtId="0" fontId="52" fillId="0" borderId="0" xfId="6" applyFont="1" applyFill="1"/>
    <xf numFmtId="0" fontId="27" fillId="0" borderId="0" xfId="6" applyFont="1" applyFill="1" applyBorder="1"/>
    <xf numFmtId="0" fontId="62" fillId="0" borderId="0" xfId="6" applyFont="1" applyFill="1" applyBorder="1"/>
    <xf numFmtId="166" fontId="57" fillId="0" borderId="0" xfId="6" applyNumberFormat="1" applyFont="1" applyFill="1" applyBorder="1"/>
    <xf numFmtId="169" fontId="25" fillId="0" borderId="0" xfId="6" applyNumberFormat="1" applyFont="1" applyFill="1" applyBorder="1"/>
    <xf numFmtId="3" fontId="36" fillId="0" borderId="1" xfId="6" applyNumberFormat="1" applyFont="1" applyBorder="1"/>
    <xf numFmtId="0" fontId="65" fillId="0" borderId="0" xfId="6" applyFont="1" applyFill="1"/>
    <xf numFmtId="0" fontId="25" fillId="0" borderId="0" xfId="6" applyFont="1" applyFill="1"/>
    <xf numFmtId="3" fontId="57" fillId="0" borderId="0" xfId="6" applyNumberFormat="1" applyFont="1" applyBorder="1"/>
    <xf numFmtId="3" fontId="57" fillId="0" borderId="0" xfId="6" applyNumberFormat="1" applyFont="1" applyFill="1" applyBorder="1"/>
    <xf numFmtId="0" fontId="64" fillId="0" borderId="0" xfId="6" applyFont="1" applyFill="1"/>
    <xf numFmtId="9" fontId="53" fillId="0" borderId="0" xfId="7" applyFont="1" applyFill="1" applyBorder="1"/>
    <xf numFmtId="169" fontId="61" fillId="0" borderId="0" xfId="6" applyNumberFormat="1" applyFont="1" applyBorder="1"/>
    <xf numFmtId="169" fontId="30" fillId="0" borderId="11" xfId="6" applyNumberFormat="1" applyFont="1" applyBorder="1"/>
    <xf numFmtId="169" fontId="36" fillId="0" borderId="10" xfId="6" applyNumberFormat="1" applyFont="1" applyFill="1" applyBorder="1"/>
    <xf numFmtId="169" fontId="36" fillId="0" borderId="7" xfId="6" applyNumberFormat="1" applyFont="1" applyBorder="1"/>
    <xf numFmtId="166" fontId="36" fillId="0" borderId="0" xfId="6" applyNumberFormat="1" applyFont="1" applyBorder="1"/>
    <xf numFmtId="0" fontId="53" fillId="0" borderId="0" xfId="6" applyFont="1" applyFill="1" applyBorder="1" applyAlignment="1">
      <alignment horizontal="left" indent="1"/>
    </xf>
    <xf numFmtId="0" fontId="52" fillId="0" borderId="0" xfId="6" applyFont="1" applyFill="1" applyBorder="1" applyAlignment="1">
      <alignment horizontal="left" indent="1"/>
    </xf>
    <xf numFmtId="169" fontId="30" fillId="0" borderId="8" xfId="6" applyNumberFormat="1" applyFont="1" applyBorder="1"/>
    <xf numFmtId="0" fontId="53" fillId="0" borderId="6" xfId="6" applyFont="1" applyFill="1" applyBorder="1"/>
    <xf numFmtId="0" fontId="36" fillId="0" borderId="6" xfId="6" applyFont="1" applyFill="1" applyBorder="1"/>
    <xf numFmtId="169" fontId="36" fillId="0" borderId="6" xfId="6" applyNumberFormat="1" applyFont="1" applyBorder="1"/>
    <xf numFmtId="169" fontId="36" fillId="0" borderId="9" xfId="6" applyNumberFormat="1" applyFont="1" applyBorder="1"/>
    <xf numFmtId="169" fontId="25" fillId="0" borderId="12" xfId="6" applyNumberFormat="1" applyFont="1" applyBorder="1" applyAlignment="1">
      <alignment horizontal="left" indent="1"/>
    </xf>
    <xf numFmtId="169" fontId="62" fillId="0" borderId="12" xfId="6" applyNumberFormat="1" applyFont="1" applyBorder="1" applyAlignment="1">
      <alignment horizontal="left" indent="1"/>
    </xf>
    <xf numFmtId="169" fontId="30" fillId="0" borderId="12" xfId="6" applyNumberFormat="1" applyFont="1" applyBorder="1" applyAlignment="1">
      <alignment horizontal="left" indent="1"/>
    </xf>
    <xf numFmtId="169" fontId="25" fillId="0" borderId="12" xfId="6" applyNumberFormat="1" applyFont="1" applyFill="1" applyBorder="1" applyAlignment="1">
      <alignment horizontal="left" indent="1"/>
    </xf>
    <xf numFmtId="169" fontId="30" fillId="0" borderId="12" xfId="6" applyNumberFormat="1" applyFont="1" applyFill="1" applyBorder="1"/>
    <xf numFmtId="169" fontId="27" fillId="0" borderId="12" xfId="6" applyNumberFormat="1" applyFont="1" applyFill="1" applyBorder="1"/>
    <xf numFmtId="166" fontId="36" fillId="0" borderId="10" xfId="6" applyNumberFormat="1" applyFont="1" applyFill="1" applyBorder="1"/>
    <xf numFmtId="169" fontId="30" fillId="0" borderId="11" xfId="6" applyNumberFormat="1" applyFont="1" applyFill="1" applyBorder="1"/>
    <xf numFmtId="9" fontId="36" fillId="0" borderId="1" xfId="7" applyFont="1" applyFill="1" applyBorder="1"/>
    <xf numFmtId="9" fontId="36" fillId="0" borderId="7" xfId="7" applyFont="1" applyFill="1" applyBorder="1"/>
    <xf numFmtId="169" fontId="36" fillId="0" borderId="10" xfId="6" applyNumberFormat="1" applyFont="1" applyBorder="1"/>
    <xf numFmtId="169" fontId="26" fillId="0" borderId="12" xfId="6" applyNumberFormat="1" applyFont="1" applyBorder="1" applyAlignment="1">
      <alignment horizontal="left" indent="2"/>
    </xf>
    <xf numFmtId="169" fontId="30" fillId="0" borderId="12" xfId="6" applyNumberFormat="1" applyFont="1" applyBorder="1" applyAlignment="1">
      <alignment horizontal="left" indent="2"/>
    </xf>
    <xf numFmtId="169" fontId="62" fillId="0" borderId="12" xfId="6" applyNumberFormat="1" applyFont="1" applyBorder="1" applyAlignment="1">
      <alignment horizontal="left" indent="2"/>
    </xf>
    <xf numFmtId="169" fontId="30" fillId="0" borderId="8" xfId="6" applyNumberFormat="1" applyFont="1" applyFill="1" applyBorder="1"/>
    <xf numFmtId="169" fontId="36" fillId="0" borderId="6" xfId="6" applyNumberFormat="1" applyFont="1" applyFill="1" applyBorder="1"/>
    <xf numFmtId="169" fontId="36" fillId="0" borderId="9" xfId="6" applyNumberFormat="1" applyFont="1" applyFill="1" applyBorder="1"/>
    <xf numFmtId="9" fontId="53" fillId="0" borderId="10" xfId="7" applyFont="1" applyFill="1" applyBorder="1"/>
    <xf numFmtId="0" fontId="36" fillId="0" borderId="7" xfId="6" applyFont="1" applyFill="1" applyBorder="1"/>
    <xf numFmtId="169" fontId="30" fillId="0" borderId="12" xfId="6" applyNumberFormat="1" applyFont="1" applyFill="1" applyBorder="1" applyAlignment="1">
      <alignment horizontal="left" indent="1"/>
    </xf>
    <xf numFmtId="169" fontId="27" fillId="0" borderId="12" xfId="6" applyNumberFormat="1" applyFont="1" applyFill="1" applyBorder="1" applyAlignment="1">
      <alignment horizontal="left" indent="1"/>
    </xf>
    <xf numFmtId="0" fontId="24" fillId="0" borderId="0" xfId="6" applyFont="1" applyFill="1"/>
    <xf numFmtId="169" fontId="24" fillId="0" borderId="12" xfId="6" applyNumberFormat="1" applyFont="1" applyBorder="1" applyAlignment="1">
      <alignment horizontal="left" indent="2"/>
    </xf>
    <xf numFmtId="0" fontId="51" fillId="7" borderId="2" xfId="9" applyFont="1" applyFill="1" applyBorder="1"/>
    <xf numFmtId="0" fontId="51" fillId="7" borderId="2" xfId="9" applyFont="1" applyFill="1" applyBorder="1" applyAlignment="1">
      <alignment horizontal="left"/>
    </xf>
    <xf numFmtId="0" fontId="51" fillId="7" borderId="2" xfId="9" applyFont="1" applyFill="1" applyBorder="1" applyAlignment="1">
      <alignment horizontal="right"/>
    </xf>
    <xf numFmtId="43" fontId="51" fillId="0" borderId="0" xfId="1" applyFont="1"/>
    <xf numFmtId="0" fontId="23" fillId="0" borderId="0" xfId="6" applyFont="1"/>
    <xf numFmtId="176" fontId="36" fillId="0" borderId="0" xfId="6" applyNumberFormat="1" applyFont="1"/>
    <xf numFmtId="0" fontId="51" fillId="7" borderId="3" xfId="6" applyFont="1" applyFill="1" applyBorder="1"/>
    <xf numFmtId="0" fontId="51" fillId="7" borderId="4" xfId="6" applyFont="1" applyFill="1" applyBorder="1"/>
    <xf numFmtId="176" fontId="51" fillId="7" borderId="4" xfId="6" applyNumberFormat="1" applyFont="1" applyFill="1" applyBorder="1"/>
    <xf numFmtId="0" fontId="52" fillId="7" borderId="4" xfId="6" applyFont="1" applyFill="1" applyBorder="1"/>
    <xf numFmtId="0" fontId="22" fillId="0" borderId="0" xfId="6" applyFont="1"/>
    <xf numFmtId="168" fontId="36" fillId="0" borderId="0" xfId="6" applyNumberFormat="1" applyFont="1"/>
    <xf numFmtId="0" fontId="21" fillId="0" borderId="0" xfId="6" applyFont="1"/>
    <xf numFmtId="9" fontId="36" fillId="0" borderId="0" xfId="6" applyNumberFormat="1" applyFont="1"/>
    <xf numFmtId="0" fontId="21" fillId="0" borderId="0" xfId="0" applyFont="1"/>
    <xf numFmtId="37" fontId="21" fillId="0" borderId="0" xfId="0" applyNumberFormat="1" applyFont="1"/>
    <xf numFmtId="169" fontId="57" fillId="0" borderId="1" xfId="6" applyNumberFormat="1" applyFont="1" applyFill="1" applyBorder="1"/>
    <xf numFmtId="3" fontId="36" fillId="0" borderId="0" xfId="6" applyNumberFormat="1" applyFont="1"/>
    <xf numFmtId="3" fontId="51" fillId="0" borderId="0" xfId="6" applyNumberFormat="1" applyFont="1"/>
    <xf numFmtId="3" fontId="21" fillId="0" borderId="0" xfId="6" applyNumberFormat="1" applyFont="1"/>
    <xf numFmtId="0" fontId="21" fillId="0" borderId="0" xfId="6" applyFont="1" applyBorder="1"/>
    <xf numFmtId="0" fontId="36" fillId="6" borderId="16" xfId="6" applyFont="1" applyFill="1" applyBorder="1"/>
    <xf numFmtId="0" fontId="36" fillId="6" borderId="17" xfId="6" applyFont="1" applyFill="1" applyBorder="1"/>
    <xf numFmtId="0" fontId="36" fillId="6" borderId="18" xfId="6" applyFont="1" applyFill="1" applyBorder="1"/>
    <xf numFmtId="0" fontId="21" fillId="0" borderId="0" xfId="6" applyFont="1" applyAlignment="1">
      <alignment horizontal="left" indent="1"/>
    </xf>
    <xf numFmtId="166" fontId="53" fillId="0" borderId="0" xfId="6" applyNumberFormat="1" applyFont="1"/>
    <xf numFmtId="167" fontId="21" fillId="0" borderId="0" xfId="0" applyNumberFormat="1" applyFont="1"/>
    <xf numFmtId="7" fontId="21" fillId="0" borderId="0" xfId="8" applyNumberFormat="1" applyFont="1" applyAlignment="1">
      <alignment horizontal="right"/>
    </xf>
    <xf numFmtId="3" fontId="53" fillId="0" borderId="0" xfId="6" applyNumberFormat="1" applyFont="1"/>
    <xf numFmtId="171" fontId="21" fillId="0" borderId="0" xfId="6" applyNumberFormat="1" applyFont="1" applyAlignment="1">
      <alignment horizontal="right"/>
    </xf>
    <xf numFmtId="171" fontId="21" fillId="0" borderId="0" xfId="6" applyNumberFormat="1" applyFont="1"/>
    <xf numFmtId="0" fontId="20" fillId="0" borderId="0" xfId="6" applyFont="1"/>
    <xf numFmtId="168" fontId="21" fillId="0" borderId="0" xfId="7" applyNumberFormat="1" applyFont="1" applyAlignment="1">
      <alignment horizontal="right"/>
    </xf>
    <xf numFmtId="0" fontId="20" fillId="0" borderId="0" xfId="6" applyFont="1" applyAlignment="1">
      <alignment horizontal="left" indent="1"/>
    </xf>
    <xf numFmtId="9" fontId="36" fillId="0" borderId="0" xfId="7" applyNumberFormat="1" applyFont="1"/>
    <xf numFmtId="170" fontId="36" fillId="0" borderId="1" xfId="6" applyNumberFormat="1" applyFont="1" applyBorder="1"/>
    <xf numFmtId="170" fontId="51" fillId="0" borderId="0" xfId="6" applyNumberFormat="1" applyFont="1"/>
    <xf numFmtId="0" fontId="36" fillId="0" borderId="16" xfId="6" applyFont="1" applyFill="1" applyBorder="1"/>
    <xf numFmtId="0" fontId="36" fillId="0" borderId="17" xfId="6" applyFont="1" applyFill="1" applyBorder="1"/>
    <xf numFmtId="0" fontId="36" fillId="0" borderId="18" xfId="6" applyFont="1" applyFill="1" applyBorder="1"/>
    <xf numFmtId="3" fontId="36" fillId="0" borderId="1" xfId="6" applyNumberFormat="1" applyFont="1" applyFill="1" applyBorder="1"/>
    <xf numFmtId="3" fontId="51" fillId="0" borderId="0" xfId="6" applyNumberFormat="1" applyFont="1" applyFill="1"/>
    <xf numFmtId="3" fontId="36" fillId="0" borderId="0" xfId="6" applyNumberFormat="1" applyFont="1" applyFill="1"/>
    <xf numFmtId="3" fontId="21" fillId="0" borderId="0" xfId="6" applyNumberFormat="1" applyFont="1" applyFill="1"/>
    <xf numFmtId="170" fontId="36" fillId="0" borderId="1" xfId="6" applyNumberFormat="1" applyFont="1" applyFill="1" applyBorder="1"/>
    <xf numFmtId="0" fontId="19" fillId="0" borderId="0" xfId="6" applyFont="1" applyAlignment="1">
      <alignment horizontal="left"/>
    </xf>
    <xf numFmtId="170" fontId="21" fillId="0" borderId="0" xfId="6" applyNumberFormat="1" applyFont="1"/>
    <xf numFmtId="5" fontId="21" fillId="0" borderId="0" xfId="8" applyNumberFormat="1" applyFont="1" applyAlignment="1">
      <alignment horizontal="right"/>
    </xf>
    <xf numFmtId="0" fontId="18" fillId="0" borderId="0" xfId="6" applyFont="1"/>
    <xf numFmtId="37" fontId="36" fillId="0" borderId="0" xfId="6" applyNumberFormat="1" applyFont="1" applyFill="1"/>
    <xf numFmtId="37" fontId="36" fillId="0" borderId="1" xfId="6" applyNumberFormat="1" applyFont="1" applyFill="1" applyBorder="1"/>
    <xf numFmtId="169" fontId="36" fillId="0" borderId="4" xfId="6" applyNumberFormat="1" applyFont="1" applyBorder="1"/>
    <xf numFmtId="3" fontId="21" fillId="0" borderId="0" xfId="6" applyNumberFormat="1" applyFont="1" applyBorder="1"/>
    <xf numFmtId="3" fontId="36" fillId="0" borderId="0" xfId="6" applyNumberFormat="1" applyFont="1" applyBorder="1"/>
    <xf numFmtId="0" fontId="17" fillId="0" borderId="0" xfId="6" applyFont="1"/>
    <xf numFmtId="171" fontId="21" fillId="0" borderId="0" xfId="6" applyNumberFormat="1" applyFont="1" applyBorder="1"/>
    <xf numFmtId="166" fontId="21" fillId="0" borderId="0" xfId="6" applyNumberFormat="1" applyFont="1" applyBorder="1"/>
    <xf numFmtId="170" fontId="21" fillId="0" borderId="0" xfId="6" applyNumberFormat="1" applyFont="1" applyBorder="1"/>
    <xf numFmtId="168" fontId="21" fillId="0" borderId="0" xfId="7" applyNumberFormat="1" applyFont="1" applyBorder="1"/>
    <xf numFmtId="0" fontId="17" fillId="0" borderId="0" xfId="6" applyFont="1" applyAlignment="1">
      <alignment horizontal="left" indent="1"/>
    </xf>
    <xf numFmtId="168" fontId="36" fillId="0" borderId="0" xfId="7" applyNumberFormat="1" applyFont="1" applyBorder="1"/>
    <xf numFmtId="169" fontId="21" fillId="0" borderId="0" xfId="7" applyNumberFormat="1" applyFont="1" applyBorder="1"/>
    <xf numFmtId="168" fontId="57" fillId="0" borderId="0" xfId="6" applyNumberFormat="1" applyFont="1" applyBorder="1"/>
    <xf numFmtId="167" fontId="36" fillId="0" borderId="0" xfId="6" applyNumberFormat="1" applyFont="1" applyFill="1" applyBorder="1"/>
    <xf numFmtId="0" fontId="16" fillId="0" borderId="0" xfId="6" applyFont="1"/>
    <xf numFmtId="0" fontId="51" fillId="0" borderId="12" xfId="0" applyFont="1" applyFill="1" applyBorder="1"/>
    <xf numFmtId="169" fontId="15" fillId="0" borderId="0" xfId="6" applyNumberFormat="1" applyFont="1" applyFill="1" applyBorder="1"/>
    <xf numFmtId="167" fontId="36" fillId="0" borderId="0" xfId="7" applyNumberFormat="1" applyFont="1"/>
    <xf numFmtId="167" fontId="51" fillId="0" borderId="0" xfId="6" applyNumberFormat="1" applyFont="1" applyBorder="1"/>
    <xf numFmtId="167" fontId="52" fillId="0" borderId="0" xfId="6" applyNumberFormat="1" applyFont="1" applyBorder="1"/>
    <xf numFmtId="167" fontId="53" fillId="0" borderId="0" xfId="6" applyNumberFormat="1" applyFont="1" applyBorder="1"/>
    <xf numFmtId="167" fontId="36" fillId="0" borderId="1" xfId="6" applyNumberFormat="1" applyFont="1" applyFill="1" applyBorder="1"/>
    <xf numFmtId="167" fontId="36" fillId="0" borderId="0" xfId="7" applyNumberFormat="1" applyFont="1" applyBorder="1"/>
    <xf numFmtId="168" fontId="36" fillId="0" borderId="0" xfId="7" applyNumberFormat="1" applyFont="1" applyFill="1"/>
    <xf numFmtId="37" fontId="51" fillId="0" borderId="0" xfId="6" applyNumberFormat="1" applyFont="1" applyFill="1"/>
    <xf numFmtId="0" fontId="53" fillId="0" borderId="0" xfId="0" applyFont="1" applyFill="1" applyAlignment="1">
      <alignment horizontal="left"/>
    </xf>
    <xf numFmtId="167" fontId="57" fillId="0" borderId="0" xfId="6" applyNumberFormat="1" applyFont="1"/>
    <xf numFmtId="167" fontId="32" fillId="0" borderId="0" xfId="6" applyNumberFormat="1" applyFont="1"/>
    <xf numFmtId="167" fontId="31" fillId="0" borderId="0" xfId="6" applyNumberFormat="1" applyFont="1"/>
    <xf numFmtId="167" fontId="57" fillId="0" borderId="0" xfId="6" applyNumberFormat="1" applyFont="1" applyFill="1"/>
    <xf numFmtId="0" fontId="14" fillId="0" borderId="0" xfId="6" applyFont="1" applyFill="1"/>
    <xf numFmtId="37" fontId="57" fillId="0" borderId="0" xfId="6" applyNumberFormat="1" applyFont="1" applyFill="1"/>
    <xf numFmtId="37" fontId="64" fillId="0" borderId="0" xfId="6" applyNumberFormat="1" applyFont="1" applyFill="1"/>
    <xf numFmtId="37" fontId="65" fillId="0" borderId="0" xfId="6" applyNumberFormat="1" applyFont="1" applyFill="1"/>
    <xf numFmtId="169" fontId="29" fillId="0" borderId="8" xfId="6" applyNumberFormat="1" applyFont="1" applyBorder="1"/>
    <xf numFmtId="0" fontId="51" fillId="0" borderId="6" xfId="6" applyFont="1" applyFill="1" applyBorder="1"/>
    <xf numFmtId="170" fontId="51" fillId="0" borderId="6" xfId="6" applyNumberFormat="1" applyFont="1" applyBorder="1"/>
    <xf numFmtId="169" fontId="27" fillId="0" borderId="12" xfId="6" applyNumberFormat="1" applyFont="1" applyBorder="1" applyAlignment="1">
      <alignment horizontal="left" indent="1"/>
    </xf>
    <xf numFmtId="0" fontId="52" fillId="0" borderId="12" xfId="6" applyFont="1" applyFill="1" applyBorder="1" applyAlignment="1">
      <alignment horizontal="left" indent="1"/>
    </xf>
    <xf numFmtId="169" fontId="29" fillId="0" borderId="12" xfId="6" applyNumberFormat="1" applyFont="1" applyBorder="1" applyAlignment="1">
      <alignment horizontal="left" indent="1"/>
    </xf>
    <xf numFmtId="0" fontId="36" fillId="0" borderId="12" xfId="6" applyFont="1" applyFill="1" applyBorder="1" applyAlignment="1">
      <alignment horizontal="left" indent="1"/>
    </xf>
    <xf numFmtId="0" fontId="36" fillId="0" borderId="10" xfId="6" applyFont="1" applyFill="1" applyBorder="1"/>
    <xf numFmtId="37" fontId="29" fillId="0" borderId="0" xfId="6" applyNumberFormat="1" applyFont="1" applyBorder="1"/>
    <xf numFmtId="37" fontId="36" fillId="0" borderId="0" xfId="6" applyNumberFormat="1" applyFont="1" applyFill="1" applyBorder="1"/>
    <xf numFmtId="37" fontId="36" fillId="0" borderId="10" xfId="6" applyNumberFormat="1" applyFont="1" applyFill="1" applyBorder="1"/>
    <xf numFmtId="37" fontId="36" fillId="0" borderId="7" xfId="6" applyNumberFormat="1" applyFont="1" applyBorder="1"/>
    <xf numFmtId="37" fontId="29" fillId="0" borderId="0" xfId="6" applyNumberFormat="1" applyFont="1" applyFill="1" applyBorder="1"/>
    <xf numFmtId="37" fontId="29" fillId="0" borderId="10" xfId="6" applyNumberFormat="1" applyFont="1" applyFill="1" applyBorder="1"/>
    <xf numFmtId="37" fontId="29" fillId="0" borderId="1" xfId="6" applyNumberFormat="1" applyFont="1" applyBorder="1"/>
    <xf numFmtId="37" fontId="29" fillId="0" borderId="7" xfId="6" applyNumberFormat="1" applyFont="1" applyBorder="1"/>
    <xf numFmtId="37" fontId="25" fillId="0" borderId="0" xfId="6" applyNumberFormat="1" applyFont="1" applyFill="1" applyBorder="1"/>
    <xf numFmtId="37" fontId="25" fillId="0" borderId="10" xfId="6" applyNumberFormat="1" applyFont="1" applyFill="1" applyBorder="1"/>
    <xf numFmtId="37" fontId="36" fillId="0" borderId="0" xfId="6" applyNumberFormat="1" applyFont="1" applyBorder="1"/>
    <xf numFmtId="37" fontId="36" fillId="0" borderId="10" xfId="6" applyNumberFormat="1" applyFont="1" applyBorder="1"/>
    <xf numFmtId="37" fontId="62" fillId="0" borderId="0" xfId="6" applyNumberFormat="1" applyFont="1" applyFill="1" applyBorder="1" applyAlignment="1">
      <alignment horizontal="right"/>
    </xf>
    <xf numFmtId="37" fontId="62" fillId="0" borderId="10" xfId="6" applyNumberFormat="1" applyFont="1" applyFill="1" applyBorder="1" applyAlignment="1">
      <alignment horizontal="right"/>
    </xf>
    <xf numFmtId="37" fontId="62" fillId="0" borderId="1" xfId="6" applyNumberFormat="1" applyFont="1" applyFill="1" applyBorder="1" applyAlignment="1">
      <alignment horizontal="right"/>
    </xf>
    <xf numFmtId="37" fontId="62" fillId="0" borderId="7" xfId="6" applyNumberFormat="1" applyFont="1" applyFill="1" applyBorder="1" applyAlignment="1">
      <alignment horizontal="right"/>
    </xf>
    <xf numFmtId="166" fontId="36" fillId="0" borderId="0" xfId="6" applyNumberFormat="1" applyFont="1" applyFill="1" applyBorder="1" applyAlignment="1">
      <alignment horizontal="right"/>
    </xf>
    <xf numFmtId="166" fontId="36" fillId="0" borderId="10" xfId="6" applyNumberFormat="1" applyFont="1" applyFill="1" applyBorder="1" applyAlignment="1">
      <alignment horizontal="right"/>
    </xf>
    <xf numFmtId="9" fontId="36" fillId="0" borderId="0" xfId="7" applyFont="1" applyFill="1" applyBorder="1" applyAlignment="1">
      <alignment horizontal="right"/>
    </xf>
    <xf numFmtId="9" fontId="36" fillId="0" borderId="10" xfId="7" applyFont="1" applyFill="1" applyBorder="1" applyAlignment="1">
      <alignment horizontal="right"/>
    </xf>
    <xf numFmtId="167" fontId="51" fillId="0" borderId="0" xfId="0" applyNumberFormat="1" applyFont="1" applyAlignment="1">
      <alignment horizontal="right"/>
    </xf>
    <xf numFmtId="167" fontId="51" fillId="0" borderId="0" xfId="0" applyNumberFormat="1" applyFont="1" applyBorder="1"/>
    <xf numFmtId="167" fontId="35" fillId="0" borderId="0" xfId="6" applyNumberFormat="1" applyFont="1" applyFill="1"/>
    <xf numFmtId="167" fontId="51" fillId="0" borderId="0" xfId="6" applyNumberFormat="1" applyFont="1" applyFill="1"/>
    <xf numFmtId="167" fontId="53" fillId="0" borderId="0" xfId="6" applyNumberFormat="1" applyFont="1" applyFill="1"/>
    <xf numFmtId="167" fontId="53" fillId="0" borderId="0" xfId="6" applyNumberFormat="1" applyFont="1" applyFill="1" applyBorder="1"/>
    <xf numFmtId="167" fontId="53" fillId="0" borderId="1" xfId="6" applyNumberFormat="1" applyFont="1" applyFill="1" applyBorder="1"/>
    <xf numFmtId="167" fontId="57" fillId="0" borderId="0" xfId="6" applyNumberFormat="1" applyFont="1" applyBorder="1"/>
    <xf numFmtId="167" fontId="58" fillId="0" borderId="0" xfId="6" applyNumberFormat="1" applyFont="1"/>
    <xf numFmtId="167" fontId="52" fillId="0" borderId="0" xfId="6" applyNumberFormat="1" applyFont="1" applyFill="1"/>
    <xf numFmtId="168" fontId="68" fillId="0" borderId="0" xfId="7" applyNumberFormat="1" applyFont="1"/>
    <xf numFmtId="10" fontId="68" fillId="0" borderId="0" xfId="7" applyNumberFormat="1" applyFont="1"/>
    <xf numFmtId="178" fontId="67" fillId="0" borderId="0" xfId="10" applyNumberFormat="1" applyFont="1" applyFill="1" applyBorder="1" applyAlignment="1">
      <alignment horizontal="left"/>
    </xf>
    <xf numFmtId="166" fontId="53" fillId="0" borderId="0" xfId="0" applyNumberFormat="1" applyFont="1"/>
    <xf numFmtId="0" fontId="53" fillId="0" borderId="2" xfId="0" applyFont="1" applyBorder="1"/>
    <xf numFmtId="170" fontId="53" fillId="0" borderId="0" xfId="0" applyNumberFormat="1" applyFont="1"/>
    <xf numFmtId="3" fontId="53" fillId="0" borderId="2" xfId="0" applyNumberFormat="1" applyFont="1" applyBorder="1"/>
    <xf numFmtId="174" fontId="53" fillId="0" borderId="2" xfId="0" applyNumberFormat="1" applyFont="1" applyBorder="1"/>
    <xf numFmtId="0" fontId="53" fillId="0" borderId="0" xfId="0" applyFont="1" applyFill="1" applyBorder="1" applyAlignment="1">
      <alignment horizontal="right"/>
    </xf>
    <xf numFmtId="0" fontId="52" fillId="0" borderId="2" xfId="0" applyFont="1" applyBorder="1"/>
    <xf numFmtId="3" fontId="52" fillId="0" borderId="2" xfId="0" applyNumberFormat="1" applyFont="1" applyFill="1" applyBorder="1"/>
    <xf numFmtId="174" fontId="52" fillId="0" borderId="2" xfId="0" applyNumberFormat="1" applyFont="1" applyFill="1" applyBorder="1"/>
    <xf numFmtId="3" fontId="53" fillId="0" borderId="0" xfId="0" applyNumberFormat="1" applyFont="1" applyFill="1" applyBorder="1"/>
    <xf numFmtId="0" fontId="52" fillId="0" borderId="0" xfId="0" applyFont="1" applyFill="1" applyBorder="1"/>
    <xf numFmtId="0" fontId="14" fillId="0" borderId="0" xfId="9" applyFont="1"/>
    <xf numFmtId="0" fontId="14" fillId="0" borderId="0" xfId="9" applyFont="1" applyAlignment="1">
      <alignment horizontal="left"/>
    </xf>
    <xf numFmtId="0" fontId="14" fillId="0" borderId="0" xfId="9" applyFont="1" applyAlignment="1">
      <alignment horizontal="right"/>
    </xf>
    <xf numFmtId="0" fontId="14" fillId="0" borderId="2" xfId="9" applyFont="1" applyBorder="1"/>
    <xf numFmtId="14" fontId="14" fillId="0" borderId="2" xfId="9" applyNumberFormat="1" applyFont="1" applyBorder="1"/>
    <xf numFmtId="0" fontId="14" fillId="0" borderId="2" xfId="9" applyFont="1" applyBorder="1" applyAlignment="1">
      <alignment horizontal="left"/>
    </xf>
    <xf numFmtId="0" fontId="14" fillId="0" borderId="2" xfId="9" applyFont="1" applyBorder="1" applyAlignment="1">
      <alignment horizontal="right"/>
    </xf>
    <xf numFmtId="179" fontId="36" fillId="0" borderId="0" xfId="7" applyNumberFormat="1" applyFont="1"/>
    <xf numFmtId="175" fontId="36" fillId="0" borderId="0" xfId="7" applyNumberFormat="1" applyFont="1"/>
    <xf numFmtId="0" fontId="13" fillId="0" borderId="0" xfId="6" applyFont="1"/>
    <xf numFmtId="170" fontId="69" fillId="0" borderId="0" xfId="6" applyNumberFormat="1" applyFont="1"/>
    <xf numFmtId="167" fontId="69" fillId="0" borderId="0" xfId="6" applyNumberFormat="1" applyFont="1"/>
    <xf numFmtId="167" fontId="69" fillId="0" borderId="0" xfId="6" applyNumberFormat="1" applyFont="1" applyFill="1"/>
    <xf numFmtId="167" fontId="69" fillId="0" borderId="1" xfId="6" applyNumberFormat="1" applyFont="1" applyBorder="1"/>
    <xf numFmtId="167" fontId="13" fillId="0" borderId="0" xfId="6" applyNumberFormat="1" applyFont="1"/>
    <xf numFmtId="0" fontId="35" fillId="0" borderId="0" xfId="0" applyFont="1" applyFill="1"/>
    <xf numFmtId="167" fontId="69" fillId="0" borderId="0" xfId="6" applyNumberFormat="1" applyFont="1" applyBorder="1"/>
    <xf numFmtId="167" fontId="69" fillId="0" borderId="0" xfId="6" applyNumberFormat="1" applyFont="1" applyFill="1" applyAlignment="1">
      <alignment horizontal="right"/>
    </xf>
    <xf numFmtId="167" fontId="69" fillId="0" borderId="1" xfId="0" applyNumberFormat="1" applyFont="1" applyFill="1" applyBorder="1"/>
    <xf numFmtId="167" fontId="57" fillId="0" borderId="1" xfId="6" applyNumberFormat="1" applyFont="1" applyFill="1" applyBorder="1"/>
    <xf numFmtId="0" fontId="31" fillId="0" borderId="0" xfId="6" applyFont="1" applyFill="1"/>
    <xf numFmtId="171" fontId="36" fillId="0" borderId="0" xfId="6" applyNumberFormat="1" applyFont="1" applyFill="1" applyAlignment="1">
      <alignment horizontal="left" indent="1"/>
    </xf>
    <xf numFmtId="171" fontId="13" fillId="0" borderId="0" xfId="6" applyNumberFormat="1" applyFont="1" applyFill="1" applyAlignment="1">
      <alignment horizontal="left" indent="1"/>
    </xf>
    <xf numFmtId="0" fontId="36" fillId="0" borderId="0" xfId="6" applyFont="1" applyFill="1" applyAlignment="1">
      <alignment horizontal="left" indent="1"/>
    </xf>
    <xf numFmtId="0" fontId="31" fillId="0" borderId="0" xfId="6" applyFont="1" applyFill="1" applyAlignment="1">
      <alignment horizontal="left" indent="1"/>
    </xf>
    <xf numFmtId="169" fontId="31" fillId="0" borderId="0" xfId="6" applyNumberFormat="1" applyFont="1" applyFill="1" applyAlignment="1">
      <alignment horizontal="left" indent="1"/>
    </xf>
    <xf numFmtId="167" fontId="69" fillId="0" borderId="1" xfId="6" applyNumberFormat="1" applyFont="1" applyFill="1" applyBorder="1"/>
    <xf numFmtId="167" fontId="53" fillId="0" borderId="0" xfId="0" applyNumberFormat="1" applyFont="1" applyFill="1"/>
    <xf numFmtId="0" fontId="13" fillId="0" borderId="0" xfId="6" applyFont="1" applyFill="1"/>
    <xf numFmtId="171" fontId="51" fillId="0" borderId="0" xfId="6" applyNumberFormat="1" applyFont="1" applyFill="1"/>
    <xf numFmtId="170" fontId="57" fillId="0" borderId="0" xfId="6" applyNumberFormat="1" applyFont="1" applyFill="1"/>
    <xf numFmtId="171" fontId="57" fillId="0" borderId="0" xfId="6" applyNumberFormat="1" applyFont="1" applyFill="1"/>
    <xf numFmtId="0" fontId="52" fillId="0" borderId="0" xfId="0" applyFont="1" applyFill="1" applyAlignment="1">
      <alignment horizontal="left"/>
    </xf>
    <xf numFmtId="0" fontId="31" fillId="0" borderId="0" xfId="0" applyFont="1" applyFill="1"/>
    <xf numFmtId="0" fontId="59" fillId="0" borderId="0" xfId="6" applyFont="1" applyFill="1" applyAlignment="1">
      <alignment horizontal="left"/>
    </xf>
    <xf numFmtId="0" fontId="13" fillId="0" borderId="0" xfId="6" applyFont="1" applyFill="1" applyAlignment="1">
      <alignment horizontal="left" indent="1"/>
    </xf>
    <xf numFmtId="0" fontId="53" fillId="0" borderId="0" xfId="0" applyFont="1" applyFill="1" applyAlignment="1">
      <alignment horizontal="left" wrapText="1" indent="1"/>
    </xf>
    <xf numFmtId="0" fontId="34" fillId="0" borderId="0" xfId="0" applyFont="1" applyFill="1"/>
    <xf numFmtId="0" fontId="34" fillId="0" borderId="0" xfId="6" applyFont="1" applyFill="1"/>
    <xf numFmtId="167" fontId="57" fillId="0" borderId="0" xfId="6" applyNumberFormat="1" applyFont="1" applyFill="1" applyAlignment="1">
      <alignment horizontal="right"/>
    </xf>
    <xf numFmtId="168" fontId="57" fillId="0" borderId="0" xfId="6" applyNumberFormat="1" applyFont="1" applyFill="1" applyAlignment="1">
      <alignment horizontal="right"/>
    </xf>
    <xf numFmtId="0" fontId="33" fillId="0" borderId="0" xfId="0" applyFont="1" applyFill="1"/>
    <xf numFmtId="0" fontId="33" fillId="0" borderId="0" xfId="0" applyFont="1" applyFill="1" applyAlignment="1">
      <alignment horizontal="left" indent="1"/>
    </xf>
    <xf numFmtId="0" fontId="14" fillId="0" borderId="0" xfId="0" applyFont="1" applyFill="1"/>
    <xf numFmtId="0" fontId="32" fillId="0" borderId="0" xfId="0" applyFont="1" applyFill="1"/>
    <xf numFmtId="0" fontId="51" fillId="0" borderId="0" xfId="0" applyFont="1" applyFill="1" applyBorder="1"/>
    <xf numFmtId="178" fontId="51" fillId="7" borderId="2" xfId="10" applyNumberFormat="1" applyFont="1" applyFill="1" applyBorder="1" applyAlignment="1">
      <alignment horizontal="left"/>
    </xf>
    <xf numFmtId="178" fontId="51" fillId="7" borderId="2" xfId="10" applyNumberFormat="1" applyFont="1" applyFill="1" applyBorder="1" applyAlignment="1">
      <alignment horizontal="right"/>
    </xf>
    <xf numFmtId="180" fontId="36" fillId="0" borderId="0" xfId="6" applyNumberFormat="1" applyFont="1"/>
    <xf numFmtId="180" fontId="21" fillId="0" borderId="0" xfId="6" applyNumberFormat="1" applyFont="1"/>
    <xf numFmtId="180" fontId="53" fillId="0" borderId="0" xfId="6" applyNumberFormat="1" applyFont="1"/>
    <xf numFmtId="180" fontId="57" fillId="0" borderId="0" xfId="6" applyNumberFormat="1" applyFont="1"/>
    <xf numFmtId="180" fontId="36" fillId="0" borderId="0" xfId="6" applyNumberFormat="1" applyFont="1" applyBorder="1"/>
    <xf numFmtId="171" fontId="36" fillId="0" borderId="0" xfId="6" applyNumberFormat="1" applyFont="1" applyBorder="1"/>
    <xf numFmtId="171" fontId="51" fillId="0" borderId="0" xfId="6" applyNumberFormat="1" applyFont="1" applyBorder="1"/>
    <xf numFmtId="170" fontId="36" fillId="0" borderId="0" xfId="6" applyNumberFormat="1" applyFont="1" applyBorder="1"/>
    <xf numFmtId="0" fontId="12" fillId="0" borderId="0" xfId="6" applyFont="1"/>
    <xf numFmtId="0" fontId="12" fillId="0" borderId="0" xfId="6" applyFont="1" applyAlignment="1">
      <alignment horizontal="left" indent="1"/>
    </xf>
    <xf numFmtId="169" fontId="12" fillId="0" borderId="0" xfId="6" applyNumberFormat="1" applyFont="1"/>
    <xf numFmtId="168" fontId="57" fillId="0" borderId="1" xfId="7" applyNumberFormat="1" applyFont="1" applyBorder="1"/>
    <xf numFmtId="169" fontId="53" fillId="0" borderId="0" xfId="6" applyNumberFormat="1" applyFont="1" applyFill="1" applyBorder="1"/>
    <xf numFmtId="169" fontId="12" fillId="0" borderId="12" xfId="6" applyNumberFormat="1" applyFont="1" applyBorder="1" applyAlignment="1">
      <alignment horizontal="left" indent="1"/>
    </xf>
    <xf numFmtId="0" fontId="12" fillId="0" borderId="0" xfId="6" applyFont="1" applyFill="1"/>
    <xf numFmtId="171" fontId="57" fillId="0" borderId="0" xfId="6" applyNumberFormat="1" applyFont="1" applyFill="1" applyBorder="1"/>
    <xf numFmtId="169" fontId="29" fillId="0" borderId="0" xfId="7" applyNumberFormat="1" applyFont="1" applyFill="1" applyBorder="1" applyAlignment="1">
      <alignment horizontal="right"/>
    </xf>
    <xf numFmtId="169" fontId="29" fillId="0" borderId="10" xfId="7" applyNumberFormat="1" applyFont="1" applyFill="1" applyBorder="1" applyAlignment="1">
      <alignment horizontal="right"/>
    </xf>
    <xf numFmtId="169" fontId="12" fillId="0" borderId="12" xfId="6" applyNumberFormat="1" applyFont="1" applyFill="1" applyBorder="1" applyAlignment="1">
      <alignment horizontal="left" indent="1"/>
    </xf>
    <xf numFmtId="9" fontId="36" fillId="0" borderId="1" xfId="7" applyFont="1" applyBorder="1"/>
    <xf numFmtId="9" fontId="51" fillId="0" borderId="0" xfId="6" applyNumberFormat="1" applyFont="1"/>
    <xf numFmtId="169" fontId="12" fillId="0" borderId="12" xfId="6" applyNumberFormat="1" applyFont="1" applyBorder="1" applyAlignment="1">
      <alignment horizontal="left" indent="2"/>
    </xf>
    <xf numFmtId="169" fontId="12" fillId="0" borderId="0" xfId="6" applyNumberFormat="1" applyFont="1" applyBorder="1"/>
    <xf numFmtId="3" fontId="64" fillId="0" borderId="0" xfId="6" applyNumberFormat="1" applyFont="1"/>
    <xf numFmtId="0" fontId="10" fillId="0" borderId="0" xfId="6" applyFont="1"/>
    <xf numFmtId="0" fontId="9" fillId="0" borderId="0" xfId="6" applyFont="1"/>
    <xf numFmtId="0" fontId="70" fillId="0" borderId="0" xfId="6" applyFont="1"/>
    <xf numFmtId="0" fontId="71" fillId="0" borderId="0" xfId="6" applyFont="1"/>
    <xf numFmtId="169" fontId="9" fillId="0" borderId="12" xfId="6" applyNumberFormat="1" applyFont="1" applyFill="1" applyBorder="1" applyAlignment="1">
      <alignment horizontal="left" indent="1"/>
    </xf>
    <xf numFmtId="169" fontId="9" fillId="0" borderId="0" xfId="6" applyNumberFormat="1" applyFont="1" applyFill="1" applyBorder="1"/>
    <xf numFmtId="178" fontId="52" fillId="8" borderId="13" xfId="10" applyNumberFormat="1" applyFont="1" applyFill="1" applyBorder="1" applyAlignment="1">
      <alignment horizontal="left"/>
    </xf>
    <xf numFmtId="178" fontId="52" fillId="8" borderId="14" xfId="10" applyNumberFormat="1" applyFont="1" applyFill="1" applyBorder="1" applyAlignment="1">
      <alignment horizontal="left"/>
    </xf>
    <xf numFmtId="178" fontId="52" fillId="8" borderId="15" xfId="10" applyNumberFormat="1" applyFont="1" applyFill="1" applyBorder="1" applyAlignment="1">
      <alignment horizontal="left"/>
    </xf>
    <xf numFmtId="0" fontId="52" fillId="8" borderId="2" xfId="6" applyFont="1" applyFill="1" applyBorder="1"/>
    <xf numFmtId="37" fontId="57" fillId="0" borderId="0" xfId="6" applyNumberFormat="1" applyFont="1" applyFill="1" applyBorder="1"/>
    <xf numFmtId="37" fontId="57" fillId="0" borderId="10" xfId="6" applyNumberFormat="1" applyFont="1" applyFill="1" applyBorder="1"/>
    <xf numFmtId="169" fontId="57" fillId="0" borderId="0" xfId="6" applyNumberFormat="1" applyFont="1" applyBorder="1"/>
    <xf numFmtId="0" fontId="57" fillId="0" borderId="0" xfId="6" applyFont="1" applyFill="1" applyBorder="1"/>
    <xf numFmtId="169" fontId="57" fillId="0" borderId="10" xfId="6" applyNumberFormat="1" applyFont="1" applyBorder="1"/>
    <xf numFmtId="9" fontId="57" fillId="0" borderId="0" xfId="7" applyFont="1" applyFill="1" applyBorder="1"/>
    <xf numFmtId="166" fontId="69" fillId="0" borderId="0" xfId="6" applyNumberFormat="1" applyFont="1" applyFill="1" applyBorder="1"/>
    <xf numFmtId="9" fontId="57" fillId="0" borderId="0" xfId="6" applyNumberFormat="1" applyFont="1" applyFill="1" applyBorder="1"/>
    <xf numFmtId="9" fontId="57" fillId="0" borderId="10" xfId="6" applyNumberFormat="1" applyFont="1" applyFill="1" applyBorder="1"/>
    <xf numFmtId="0" fontId="8" fillId="0" borderId="0" xfId="6" applyFont="1"/>
    <xf numFmtId="0" fontId="12" fillId="0" borderId="8" xfId="6" applyFont="1" applyBorder="1"/>
    <xf numFmtId="0" fontId="51" fillId="0" borderId="6" xfId="6" applyFont="1" applyBorder="1"/>
    <xf numFmtId="169" fontId="51" fillId="0" borderId="6" xfId="6" applyNumberFormat="1" applyFont="1" applyBorder="1"/>
    <xf numFmtId="0" fontId="12" fillId="0" borderId="12" xfId="6" applyFont="1" applyBorder="1"/>
    <xf numFmtId="169" fontId="51" fillId="0" borderId="0" xfId="6" applyNumberFormat="1" applyFont="1" applyBorder="1"/>
    <xf numFmtId="168" fontId="57" fillId="0" borderId="7" xfId="7" applyNumberFormat="1" applyFont="1" applyBorder="1"/>
    <xf numFmtId="0" fontId="9" fillId="0" borderId="12" xfId="6" applyFont="1" applyBorder="1"/>
    <xf numFmtId="169" fontId="12" fillId="0" borderId="10" xfId="6" applyNumberFormat="1" applyFont="1" applyBorder="1"/>
    <xf numFmtId="0" fontId="51" fillId="0" borderId="12" xfId="6" applyFont="1" applyBorder="1"/>
    <xf numFmtId="169" fontId="51" fillId="0" borderId="10" xfId="6" applyNumberFormat="1" applyFont="1" applyBorder="1"/>
    <xf numFmtId="0" fontId="12" fillId="0" borderId="11" xfId="6" applyFont="1" applyBorder="1"/>
    <xf numFmtId="0" fontId="51" fillId="0" borderId="1" xfId="6" applyFont="1" applyBorder="1"/>
    <xf numFmtId="169" fontId="51" fillId="0" borderId="1" xfId="6" applyNumberFormat="1" applyFont="1" applyBorder="1"/>
    <xf numFmtId="37" fontId="57" fillId="0" borderId="1" xfId="6" applyNumberFormat="1" applyFont="1" applyBorder="1"/>
    <xf numFmtId="0" fontId="51" fillId="0" borderId="8" xfId="6" applyFont="1" applyBorder="1"/>
    <xf numFmtId="169" fontId="51" fillId="0" borderId="9" xfId="6" applyNumberFormat="1" applyFont="1" applyBorder="1"/>
    <xf numFmtId="0" fontId="51" fillId="8" borderId="8" xfId="6" applyFont="1" applyFill="1" applyBorder="1"/>
    <xf numFmtId="0" fontId="51" fillId="8" borderId="6" xfId="6" applyFont="1" applyFill="1" applyBorder="1"/>
    <xf numFmtId="169" fontId="51" fillId="8" borderId="6" xfId="6" applyNumberFormat="1" applyFont="1" applyFill="1" applyBorder="1"/>
    <xf numFmtId="169" fontId="51" fillId="8" borderId="9" xfId="6" applyNumberFormat="1" applyFont="1" applyFill="1" applyBorder="1"/>
    <xf numFmtId="0" fontId="51" fillId="8" borderId="4" xfId="6" applyFont="1" applyFill="1" applyBorder="1"/>
    <xf numFmtId="169" fontId="51" fillId="8" borderId="4" xfId="6" applyNumberFormat="1" applyFont="1" applyFill="1" applyBorder="1"/>
    <xf numFmtId="0" fontId="51" fillId="8" borderId="3" xfId="6" applyFont="1" applyFill="1" applyBorder="1"/>
    <xf numFmtId="169" fontId="51" fillId="8" borderId="5" xfId="6" applyNumberFormat="1" applyFont="1" applyFill="1" applyBorder="1"/>
    <xf numFmtId="169" fontId="8" fillId="0" borderId="0" xfId="6" applyNumberFormat="1" applyFont="1"/>
    <xf numFmtId="167" fontId="12" fillId="0" borderId="10" xfId="6" applyNumberFormat="1" applyFont="1" applyBorder="1"/>
    <xf numFmtId="167" fontId="12" fillId="0" borderId="7" xfId="6" applyNumberFormat="1" applyFont="1" applyBorder="1"/>
    <xf numFmtId="167" fontId="57" fillId="0" borderId="10" xfId="6" applyNumberFormat="1" applyFont="1" applyBorder="1"/>
    <xf numFmtId="167" fontId="8" fillId="0" borderId="0" xfId="6" applyNumberFormat="1" applyFont="1"/>
    <xf numFmtId="171" fontId="64" fillId="0" borderId="0" xfId="6" applyNumberFormat="1" applyFont="1"/>
    <xf numFmtId="168" fontId="57" fillId="0" borderId="0" xfId="7" applyNumberFormat="1" applyFont="1" applyBorder="1"/>
    <xf numFmtId="0" fontId="8" fillId="0" borderId="12" xfId="6" applyFont="1" applyBorder="1"/>
    <xf numFmtId="167" fontId="8" fillId="0" borderId="7" xfId="6" applyNumberFormat="1" applyFont="1" applyBorder="1"/>
    <xf numFmtId="0" fontId="8" fillId="0" borderId="0" xfId="6" applyFont="1" applyBorder="1"/>
    <xf numFmtId="169" fontId="8" fillId="0" borderId="0" xfId="6" applyNumberFormat="1" applyFont="1" applyBorder="1"/>
    <xf numFmtId="168" fontId="8" fillId="0" borderId="10" xfId="7" applyNumberFormat="1" applyFont="1" applyBorder="1"/>
    <xf numFmtId="5" fontId="8" fillId="0" borderId="10" xfId="6" applyNumberFormat="1" applyFont="1" applyBorder="1"/>
    <xf numFmtId="7" fontId="57" fillId="0" borderId="10" xfId="6" applyNumberFormat="1" applyFont="1" applyBorder="1"/>
    <xf numFmtId="168" fontId="57" fillId="0" borderId="10" xfId="7" applyNumberFormat="1" applyFont="1" applyBorder="1"/>
    <xf numFmtId="167" fontId="8" fillId="0" borderId="10" xfId="6" applyNumberFormat="1" applyFont="1" applyBorder="1"/>
    <xf numFmtId="0" fontId="8" fillId="0" borderId="11" xfId="6" applyFont="1" applyBorder="1"/>
    <xf numFmtId="0" fontId="8" fillId="0" borderId="1" xfId="6" applyFont="1" applyBorder="1"/>
    <xf numFmtId="169" fontId="8" fillId="0" borderId="1" xfId="6" applyNumberFormat="1" applyFont="1" applyBorder="1"/>
    <xf numFmtId="5" fontId="8" fillId="0" borderId="7" xfId="6" applyNumberFormat="1" applyFont="1" applyBorder="1"/>
    <xf numFmtId="167" fontId="53" fillId="0" borderId="10" xfId="6" applyNumberFormat="1" applyFont="1" applyBorder="1"/>
    <xf numFmtId="168" fontId="53" fillId="0" borderId="0" xfId="6" applyNumberFormat="1" applyFont="1"/>
    <xf numFmtId="0" fontId="51" fillId="0" borderId="9" xfId="6" applyFont="1" applyBorder="1"/>
    <xf numFmtId="0" fontId="11" fillId="0" borderId="12" xfId="6" applyFont="1" applyBorder="1"/>
    <xf numFmtId="170" fontId="36" fillId="0" borderId="10" xfId="6" applyNumberFormat="1" applyFont="1" applyBorder="1"/>
    <xf numFmtId="170" fontId="36" fillId="0" borderId="7" xfId="6" applyNumberFormat="1" applyFont="1" applyBorder="1"/>
    <xf numFmtId="166" fontId="53" fillId="0" borderId="10" xfId="6" applyNumberFormat="1" applyFont="1" applyBorder="1"/>
    <xf numFmtId="166" fontId="53" fillId="0" borderId="7" xfId="6" applyNumberFormat="1" applyFont="1" applyBorder="1"/>
    <xf numFmtId="0" fontId="11" fillId="0" borderId="11" xfId="6" applyFont="1" applyBorder="1"/>
    <xf numFmtId="0" fontId="51" fillId="8" borderId="5" xfId="6" applyFont="1" applyFill="1" applyBorder="1"/>
    <xf numFmtId="169" fontId="12" fillId="0" borderId="9" xfId="6" applyNumberFormat="1" applyFont="1" applyBorder="1"/>
    <xf numFmtId="0" fontId="51" fillId="0" borderId="10" xfId="6" applyFont="1" applyBorder="1"/>
    <xf numFmtId="168" fontId="57" fillId="0" borderId="10" xfId="6" applyNumberFormat="1" applyFont="1" applyBorder="1"/>
    <xf numFmtId="0" fontId="10" fillId="0" borderId="12" xfId="6" applyFont="1" applyBorder="1"/>
    <xf numFmtId="166" fontId="10" fillId="0" borderId="10" xfId="6" applyNumberFormat="1" applyFont="1" applyBorder="1"/>
    <xf numFmtId="9" fontId="9" fillId="0" borderId="10" xfId="7" applyNumberFormat="1" applyFont="1" applyBorder="1"/>
    <xf numFmtId="0" fontId="51" fillId="0" borderId="7" xfId="6" applyFont="1" applyBorder="1"/>
    <xf numFmtId="0" fontId="51" fillId="0" borderId="8" xfId="6" applyFont="1" applyFill="1" applyBorder="1"/>
    <xf numFmtId="169" fontId="51" fillId="0" borderId="6" xfId="6" applyNumberFormat="1" applyFont="1" applyFill="1" applyBorder="1"/>
    <xf numFmtId="169" fontId="51" fillId="0" borderId="9" xfId="6" applyNumberFormat="1" applyFont="1" applyFill="1" applyBorder="1"/>
    <xf numFmtId="0" fontId="57" fillId="0" borderId="10" xfId="6" applyFont="1" applyBorder="1"/>
    <xf numFmtId="0" fontId="9" fillId="0" borderId="10" xfId="6" applyFont="1" applyBorder="1"/>
    <xf numFmtId="170" fontId="9" fillId="0" borderId="10" xfId="6" applyNumberFormat="1" applyFont="1" applyBorder="1"/>
    <xf numFmtId="0" fontId="9" fillId="0" borderId="11" xfId="6" applyFont="1" applyBorder="1"/>
    <xf numFmtId="166" fontId="9" fillId="0" borderId="7" xfId="6" applyNumberFormat="1" applyFont="1" applyBorder="1"/>
    <xf numFmtId="3" fontId="9" fillId="0" borderId="10" xfId="6" applyNumberFormat="1" applyFont="1" applyBorder="1"/>
    <xf numFmtId="0" fontId="10" fillId="0" borderId="1" xfId="6" applyFont="1" applyBorder="1"/>
    <xf numFmtId="0" fontId="10" fillId="0" borderId="7" xfId="6" applyFont="1" applyBorder="1"/>
    <xf numFmtId="0" fontId="10" fillId="0" borderId="6" xfId="6" applyFont="1" applyBorder="1"/>
    <xf numFmtId="0" fontId="10" fillId="0" borderId="9" xfId="6" applyFont="1" applyBorder="1"/>
    <xf numFmtId="0" fontId="10" fillId="0" borderId="0" xfId="6" applyFont="1" applyBorder="1"/>
    <xf numFmtId="0" fontId="10" fillId="0" borderId="10" xfId="6" applyFont="1" applyBorder="1"/>
    <xf numFmtId="170" fontId="10" fillId="0" borderId="10" xfId="6" applyNumberFormat="1" applyFont="1" applyBorder="1"/>
    <xf numFmtId="14" fontId="9" fillId="0" borderId="12" xfId="6" applyNumberFormat="1" applyFont="1" applyBorder="1"/>
    <xf numFmtId="14" fontId="53" fillId="0" borderId="0" xfId="6" applyNumberFormat="1" applyFont="1" applyBorder="1"/>
    <xf numFmtId="170" fontId="10" fillId="0" borderId="7" xfId="6" applyNumberFormat="1" applyFont="1" applyBorder="1"/>
    <xf numFmtId="14" fontId="51" fillId="0" borderId="11" xfId="6" applyNumberFormat="1" applyFont="1" applyBorder="1"/>
    <xf numFmtId="14" fontId="51" fillId="0" borderId="1" xfId="6" applyNumberFormat="1" applyFont="1" applyBorder="1"/>
    <xf numFmtId="14" fontId="52" fillId="0" borderId="1" xfId="6" applyNumberFormat="1" applyFont="1" applyBorder="1"/>
    <xf numFmtId="168" fontId="51" fillId="0" borderId="1" xfId="6" applyNumberFormat="1" applyFont="1" applyBorder="1"/>
    <xf numFmtId="170" fontId="51" fillId="0" borderId="7" xfId="6" applyNumberFormat="1" applyFont="1" applyBorder="1"/>
    <xf numFmtId="0" fontId="12" fillId="0" borderId="0" xfId="6" applyFont="1" applyFill="1" applyAlignment="1">
      <alignment horizontal="left" indent="1"/>
    </xf>
    <xf numFmtId="0" fontId="22" fillId="0" borderId="0" xfId="6" applyFont="1" applyFill="1"/>
    <xf numFmtId="0" fontId="21" fillId="0" borderId="0" xfId="6" applyFont="1" applyFill="1"/>
    <xf numFmtId="0" fontId="20" fillId="0" borderId="0" xfId="6" applyFont="1" applyFill="1" applyAlignment="1">
      <alignment horizontal="left" indent="1"/>
    </xf>
    <xf numFmtId="0" fontId="20" fillId="0" borderId="0" xfId="6" applyFont="1" applyFill="1"/>
    <xf numFmtId="0" fontId="19" fillId="0" borderId="0" xfId="6" applyFont="1" applyFill="1" applyAlignment="1">
      <alignment horizontal="left"/>
    </xf>
    <xf numFmtId="0" fontId="17" fillId="0" borderId="0" xfId="6" applyFont="1" applyFill="1" applyAlignment="1">
      <alignment horizontal="left" indent="1"/>
    </xf>
    <xf numFmtId="0" fontId="18" fillId="0" borderId="0" xfId="6" applyFont="1" applyFill="1"/>
    <xf numFmtId="0" fontId="16" fillId="0" borderId="0" xfId="6" applyFont="1" applyFill="1"/>
    <xf numFmtId="0" fontId="21" fillId="0" borderId="0" xfId="0" applyFont="1" applyFill="1"/>
    <xf numFmtId="0" fontId="17" fillId="0" borderId="0" xfId="6" applyFont="1" applyFill="1"/>
    <xf numFmtId="14" fontId="8" fillId="0" borderId="0" xfId="6" applyNumberFormat="1" applyFont="1"/>
    <xf numFmtId="0" fontId="53" fillId="0" borderId="0" xfId="0" applyFont="1" applyBorder="1"/>
    <xf numFmtId="0" fontId="53" fillId="0" borderId="8" xfId="0" applyFont="1" applyBorder="1"/>
    <xf numFmtId="0" fontId="53" fillId="0" borderId="6" xfId="0" applyFont="1" applyBorder="1"/>
    <xf numFmtId="0" fontId="53" fillId="0" borderId="9" xfId="0" applyFont="1" applyBorder="1"/>
    <xf numFmtId="0" fontId="53" fillId="0" borderId="12" xfId="0" applyFont="1" applyBorder="1"/>
    <xf numFmtId="0" fontId="53" fillId="0" borderId="1" xfId="0" applyFont="1" applyBorder="1"/>
    <xf numFmtId="0" fontId="53" fillId="0" borderId="11" xfId="0" applyFont="1" applyBorder="1"/>
    <xf numFmtId="0" fontId="53" fillId="0" borderId="10" xfId="0" applyFont="1" applyBorder="1"/>
    <xf numFmtId="170" fontId="53" fillId="0" borderId="10" xfId="0" applyNumberFormat="1" applyFont="1" applyBorder="1"/>
    <xf numFmtId="170" fontId="53" fillId="0" borderId="7" xfId="0" applyNumberFormat="1" applyFont="1" applyBorder="1"/>
    <xf numFmtId="0" fontId="7" fillId="0" borderId="12" xfId="6" applyFont="1" applyBorder="1"/>
    <xf numFmtId="181" fontId="36" fillId="0" borderId="1" xfId="6" applyNumberFormat="1" applyFont="1" applyBorder="1"/>
    <xf numFmtId="181" fontId="36" fillId="0" borderId="7" xfId="6" applyNumberFormat="1" applyFont="1" applyBorder="1"/>
    <xf numFmtId="0" fontId="6" fillId="0" borderId="12" xfId="6" applyFont="1" applyBorder="1"/>
    <xf numFmtId="0" fontId="5" fillId="0" borderId="0" xfId="6" applyFont="1"/>
    <xf numFmtId="2" fontId="36" fillId="0" borderId="0" xfId="6" applyNumberFormat="1" applyFont="1"/>
    <xf numFmtId="0" fontId="5" fillId="0" borderId="0" xfId="6" applyFont="1" applyFill="1"/>
    <xf numFmtId="168" fontId="5" fillId="0" borderId="0" xfId="7" applyNumberFormat="1" applyFont="1"/>
    <xf numFmtId="14" fontId="51" fillId="0" borderId="0" xfId="6" applyNumberFormat="1" applyFont="1" applyFill="1" applyBorder="1"/>
    <xf numFmtId="14" fontId="51" fillId="0" borderId="0" xfId="6" applyNumberFormat="1" applyFont="1" applyFill="1"/>
    <xf numFmtId="0" fontId="51" fillId="0" borderId="9" xfId="6" applyFont="1" applyFill="1" applyBorder="1"/>
    <xf numFmtId="0" fontId="5" fillId="0" borderId="12" xfId="6" applyFont="1" applyBorder="1"/>
    <xf numFmtId="167" fontId="36" fillId="0" borderId="10" xfId="6" applyNumberFormat="1" applyFont="1" applyBorder="1"/>
    <xf numFmtId="167" fontId="57" fillId="0" borderId="7" xfId="6" applyNumberFormat="1" applyFont="1" applyBorder="1"/>
    <xf numFmtId="0" fontId="51" fillId="0" borderId="12" xfId="6" applyFont="1" applyFill="1" applyBorder="1"/>
    <xf numFmtId="14" fontId="51" fillId="0" borderId="10" xfId="6" applyNumberFormat="1" applyFont="1" applyBorder="1"/>
    <xf numFmtId="0" fontId="5" fillId="0" borderId="12" xfId="6" applyFont="1" applyFill="1" applyBorder="1"/>
    <xf numFmtId="166" fontId="5" fillId="0" borderId="10" xfId="6" applyNumberFormat="1" applyFont="1" applyBorder="1"/>
    <xf numFmtId="0" fontId="5" fillId="0" borderId="11" xfId="6" applyFont="1" applyFill="1" applyBorder="1"/>
    <xf numFmtId="9" fontId="5" fillId="0" borderId="7" xfId="7" applyNumberFormat="1" applyFont="1" applyBorder="1"/>
    <xf numFmtId="14" fontId="53" fillId="0" borderId="12" xfId="6" applyNumberFormat="1" applyFont="1" applyBorder="1"/>
    <xf numFmtId="180" fontId="36" fillId="0" borderId="7" xfId="6" applyNumberFormat="1" applyFont="1" applyBorder="1"/>
    <xf numFmtId="14" fontId="36" fillId="0" borderId="10" xfId="6" applyNumberFormat="1" applyFont="1" applyBorder="1"/>
    <xf numFmtId="174" fontId="36" fillId="0" borderId="0" xfId="6" applyNumberFormat="1" applyFont="1" applyBorder="1"/>
    <xf numFmtId="14" fontId="53" fillId="0" borderId="11" xfId="6" applyNumberFormat="1" applyFont="1" applyBorder="1"/>
    <xf numFmtId="14" fontId="36" fillId="0" borderId="1" xfId="6" applyNumberFormat="1" applyFont="1" applyBorder="1"/>
    <xf numFmtId="174" fontId="36" fillId="0" borderId="1" xfId="6" applyNumberFormat="1" applyFont="1" applyBorder="1"/>
    <xf numFmtId="167" fontId="36" fillId="0" borderId="7" xfId="6" applyNumberFormat="1" applyFont="1" applyBorder="1"/>
    <xf numFmtId="166" fontId="57" fillId="0" borderId="10" xfId="6" applyNumberFormat="1" applyFont="1" applyBorder="1"/>
    <xf numFmtId="169" fontId="57" fillId="0" borderId="7" xfId="6" applyNumberFormat="1" applyFont="1" applyBorder="1"/>
    <xf numFmtId="170" fontId="53" fillId="0" borderId="1" xfId="0" applyNumberFormat="1" applyFont="1" applyBorder="1"/>
    <xf numFmtId="170" fontId="52" fillId="0" borderId="0" xfId="0" applyNumberFormat="1" applyFont="1"/>
    <xf numFmtId="166" fontId="57" fillId="0" borderId="0" xfId="0" applyNumberFormat="1" applyFont="1"/>
    <xf numFmtId="0" fontId="57" fillId="0" borderId="0" xfId="0" applyFont="1"/>
    <xf numFmtId="169" fontId="53" fillId="0" borderId="0" xfId="0" applyNumberFormat="1" applyFont="1"/>
    <xf numFmtId="166" fontId="53" fillId="0" borderId="0" xfId="7" applyNumberFormat="1" applyFont="1"/>
    <xf numFmtId="182" fontId="53" fillId="0" borderId="0" xfId="0" applyNumberFormat="1" applyFont="1"/>
    <xf numFmtId="0" fontId="51" fillId="7" borderId="5" xfId="6" applyFont="1" applyFill="1" applyBorder="1"/>
    <xf numFmtId="168" fontId="57" fillId="0" borderId="0" xfId="0" applyNumberFormat="1" applyFont="1"/>
    <xf numFmtId="9" fontId="53" fillId="0" borderId="0" xfId="7" applyFont="1"/>
    <xf numFmtId="170" fontId="57" fillId="0" borderId="0" xfId="0" applyNumberFormat="1" applyFont="1"/>
    <xf numFmtId="170" fontId="57" fillId="0" borderId="1" xfId="0" applyNumberFormat="1" applyFont="1" applyBorder="1"/>
    <xf numFmtId="170" fontId="53" fillId="0" borderId="0" xfId="0" applyNumberFormat="1" applyFont="1" applyFill="1"/>
    <xf numFmtId="0" fontId="53" fillId="0" borderId="1" xfId="0" applyFont="1" applyFill="1" applyBorder="1"/>
    <xf numFmtId="170" fontId="53" fillId="0" borderId="1" xfId="0" applyNumberFormat="1" applyFont="1" applyFill="1" applyBorder="1"/>
    <xf numFmtId="0" fontId="72" fillId="0" borderId="0" xfId="0" applyFont="1" applyAlignment="1">
      <alignment horizontal="right"/>
    </xf>
    <xf numFmtId="0" fontId="56" fillId="0" borderId="0" xfId="0" applyFont="1" applyAlignment="1">
      <alignment horizontal="right"/>
    </xf>
    <xf numFmtId="0" fontId="52" fillId="8" borderId="3" xfId="0" applyFont="1" applyFill="1" applyBorder="1"/>
    <xf numFmtId="0" fontId="52" fillId="8" borderId="4" xfId="0" applyFont="1" applyFill="1" applyBorder="1"/>
    <xf numFmtId="0" fontId="52" fillId="8" borderId="5" xfId="0" applyFont="1" applyFill="1" applyBorder="1"/>
    <xf numFmtId="169" fontId="4" fillId="0" borderId="0" xfId="6" applyNumberFormat="1" applyFont="1" applyFill="1" applyBorder="1"/>
    <xf numFmtId="9" fontId="36" fillId="0" borderId="10" xfId="7" applyFont="1" applyBorder="1"/>
    <xf numFmtId="170" fontId="69" fillId="0" borderId="10" xfId="0" applyNumberFormat="1" applyFont="1" applyBorder="1"/>
    <xf numFmtId="9" fontId="69" fillId="0" borderId="10" xfId="7" applyFont="1" applyBorder="1"/>
    <xf numFmtId="9" fontId="53" fillId="0" borderId="10" xfId="7" applyFont="1" applyBorder="1"/>
    <xf numFmtId="37" fontId="69" fillId="0" borderId="10" xfId="0" applyNumberFormat="1" applyFont="1" applyBorder="1" applyAlignment="1">
      <alignment horizontal="right"/>
    </xf>
    <xf numFmtId="170" fontId="69" fillId="0" borderId="7" xfId="0" applyNumberFormat="1" applyFont="1" applyBorder="1"/>
    <xf numFmtId="0" fontId="52" fillId="8" borderId="8" xfId="0" applyFont="1" applyFill="1" applyBorder="1"/>
    <xf numFmtId="0" fontId="52" fillId="8" borderId="6" xfId="0" applyFont="1" applyFill="1" applyBorder="1"/>
    <xf numFmtId="0" fontId="52" fillId="8" borderId="9" xfId="0" applyFont="1" applyFill="1" applyBorder="1"/>
    <xf numFmtId="0" fontId="52" fillId="8" borderId="11" xfId="0" applyFont="1" applyFill="1" applyBorder="1"/>
    <xf numFmtId="0" fontId="52" fillId="8" borderId="1" xfId="0" applyFont="1" applyFill="1" applyBorder="1"/>
    <xf numFmtId="0" fontId="52" fillId="8" borderId="7" xfId="0" applyFont="1" applyFill="1" applyBorder="1"/>
    <xf numFmtId="0" fontId="53" fillId="8" borderId="6" xfId="0" applyFont="1" applyFill="1" applyBorder="1"/>
    <xf numFmtId="0" fontId="53" fillId="8" borderId="9" xfId="0" applyFont="1" applyFill="1" applyBorder="1"/>
    <xf numFmtId="0" fontId="53" fillId="8" borderId="1" xfId="0" applyFont="1" applyFill="1" applyBorder="1"/>
    <xf numFmtId="0" fontId="53" fillId="8" borderId="7" xfId="0" applyFont="1" applyFill="1" applyBorder="1"/>
    <xf numFmtId="0" fontId="51" fillId="8" borderId="0" xfId="6" applyFont="1" applyFill="1" applyBorder="1" applyAlignment="1">
      <alignment horizontal="center"/>
    </xf>
    <xf numFmtId="37" fontId="53" fillId="10" borderId="0" xfId="0" applyNumberFormat="1" applyFont="1" applyFill="1" applyBorder="1"/>
    <xf numFmtId="167" fontId="73" fillId="0" borderId="0" xfId="6" applyNumberFormat="1" applyFont="1"/>
    <xf numFmtId="0" fontId="3" fillId="0" borderId="0" xfId="6" applyFont="1" applyFill="1" applyAlignment="1">
      <alignment horizontal="left" indent="1"/>
    </xf>
    <xf numFmtId="167" fontId="3" fillId="0" borderId="1" xfId="6" applyNumberFormat="1" applyFont="1" applyBorder="1"/>
    <xf numFmtId="167" fontId="74" fillId="0" borderId="1" xfId="6" applyNumberFormat="1" applyFont="1" applyBorder="1"/>
    <xf numFmtId="0" fontId="51" fillId="8" borderId="12" xfId="6" applyFont="1" applyFill="1" applyBorder="1" applyAlignment="1">
      <alignment horizontal="center"/>
    </xf>
    <xf numFmtId="0" fontId="51" fillId="8" borderId="0" xfId="6" applyFont="1" applyFill="1" applyBorder="1" applyAlignment="1">
      <alignment horizontal="center"/>
    </xf>
    <xf numFmtId="169" fontId="36" fillId="0" borderId="16" xfId="6" applyNumberFormat="1" applyFont="1" applyFill="1" applyBorder="1" applyAlignment="1">
      <alignment horizontal="right" vertical="center"/>
    </xf>
    <xf numFmtId="0" fontId="36" fillId="0" borderId="17" xfId="6" applyFont="1" applyFill="1" applyBorder="1" applyAlignment="1">
      <alignment horizontal="right" vertical="center"/>
    </xf>
    <xf numFmtId="0" fontId="36" fillId="0" borderId="18" xfId="6" applyFont="1" applyFill="1" applyBorder="1" applyAlignment="1">
      <alignment horizontal="right" vertical="center"/>
    </xf>
    <xf numFmtId="3" fontId="36" fillId="0" borderId="16" xfId="6" applyNumberFormat="1" applyFont="1" applyFill="1" applyBorder="1" applyAlignment="1">
      <alignment horizontal="right" vertical="center"/>
    </xf>
    <xf numFmtId="3" fontId="36" fillId="0" borderId="17" xfId="6" applyNumberFormat="1" applyFont="1" applyFill="1" applyBorder="1" applyAlignment="1">
      <alignment horizontal="right" vertical="center"/>
    </xf>
    <xf numFmtId="3" fontId="36" fillId="0" borderId="18" xfId="6" applyNumberFormat="1" applyFont="1" applyFill="1" applyBorder="1" applyAlignment="1">
      <alignment horizontal="right" vertical="center"/>
    </xf>
    <xf numFmtId="170" fontId="36" fillId="0" borderId="2" xfId="6" applyNumberFormat="1" applyFont="1" applyBorder="1" applyAlignment="1">
      <alignment horizontal="right" vertical="center"/>
    </xf>
    <xf numFmtId="170" fontId="53" fillId="9" borderId="2" xfId="6" applyNumberFormat="1" applyFont="1" applyFill="1" applyBorder="1" applyAlignment="1">
      <alignment horizontal="right" vertical="center"/>
    </xf>
    <xf numFmtId="3" fontId="36" fillId="6" borderId="16" xfId="6" applyNumberFormat="1" applyFont="1" applyFill="1" applyBorder="1" applyAlignment="1">
      <alignment horizontal="right" vertical="center"/>
    </xf>
    <xf numFmtId="3" fontId="36" fillId="6" borderId="17" xfId="6" applyNumberFormat="1" applyFont="1" applyFill="1" applyBorder="1" applyAlignment="1">
      <alignment horizontal="right" vertical="center"/>
    </xf>
    <xf numFmtId="3" fontId="36" fillId="6" borderId="18" xfId="6" applyNumberFormat="1" applyFont="1" applyFill="1" applyBorder="1" applyAlignment="1">
      <alignment horizontal="right" vertical="center"/>
    </xf>
    <xf numFmtId="0" fontId="53" fillId="0" borderId="0" xfId="6" applyFont="1" applyFill="1" applyBorder="1" applyAlignment="1">
      <alignment horizontal="right"/>
    </xf>
    <xf numFmtId="171" fontId="57" fillId="6" borderId="16" xfId="6" applyNumberFormat="1" applyFont="1" applyFill="1" applyBorder="1" applyAlignment="1">
      <alignment horizontal="right" vertical="center"/>
    </xf>
    <xf numFmtId="171" fontId="57" fillId="6" borderId="17" xfId="6" applyNumberFormat="1" applyFont="1" applyFill="1" applyBorder="1" applyAlignment="1">
      <alignment horizontal="right" vertical="center"/>
    </xf>
    <xf numFmtId="171" fontId="57" fillId="6" borderId="18" xfId="6" applyNumberFormat="1" applyFont="1" applyFill="1" applyBorder="1" applyAlignment="1">
      <alignment horizontal="right" vertical="center"/>
    </xf>
    <xf numFmtId="0" fontId="2" fillId="0" borderId="0" xfId="6" applyFont="1" applyFill="1"/>
    <xf numFmtId="0" fontId="2" fillId="0" borderId="0" xfId="6" applyFont="1"/>
    <xf numFmtId="0" fontId="2" fillId="0" borderId="0" xfId="6" applyFont="1" applyBorder="1"/>
    <xf numFmtId="0" fontId="41" fillId="2" borderId="0" xfId="0" applyFont="1" applyFill="1" applyAlignment="1">
      <alignment horizontal="left" vertical="top" wrapText="1"/>
    </xf>
    <xf numFmtId="0" fontId="51" fillId="8" borderId="3" xfId="6" applyFont="1" applyFill="1" applyBorder="1" applyAlignment="1">
      <alignment horizontal="center"/>
    </xf>
    <xf numFmtId="0" fontId="51" fillId="8" borderId="4" xfId="6" applyFont="1" applyFill="1" applyBorder="1" applyAlignment="1">
      <alignment horizontal="center"/>
    </xf>
    <xf numFmtId="0" fontId="51" fillId="8" borderId="5" xfId="6" applyFont="1" applyFill="1" applyBorder="1" applyAlignment="1">
      <alignment horizontal="center"/>
    </xf>
    <xf numFmtId="170" fontId="36" fillId="0" borderId="2" xfId="6" applyNumberFormat="1" applyFont="1" applyBorder="1" applyAlignment="1">
      <alignment horizontal="right" vertical="center"/>
    </xf>
    <xf numFmtId="169" fontId="36" fillId="0" borderId="16" xfId="6" applyNumberFormat="1" applyFont="1" applyFill="1" applyBorder="1" applyAlignment="1">
      <alignment horizontal="right" vertical="center"/>
    </xf>
    <xf numFmtId="0" fontId="36" fillId="0" borderId="17" xfId="6" applyFont="1" applyFill="1" applyBorder="1" applyAlignment="1">
      <alignment horizontal="right" vertical="center"/>
    </xf>
    <xf numFmtId="0" fontId="36" fillId="0" borderId="18" xfId="6" applyFont="1" applyFill="1" applyBorder="1" applyAlignment="1">
      <alignment horizontal="right" vertical="center"/>
    </xf>
    <xf numFmtId="3" fontId="36" fillId="0" borderId="16" xfId="6" applyNumberFormat="1" applyFont="1" applyFill="1" applyBorder="1" applyAlignment="1">
      <alignment horizontal="right" vertical="center"/>
    </xf>
    <xf numFmtId="3" fontId="36" fillId="0" borderId="17" xfId="6" applyNumberFormat="1" applyFont="1" applyFill="1" applyBorder="1" applyAlignment="1">
      <alignment horizontal="right" vertical="center"/>
    </xf>
    <xf numFmtId="3" fontId="36" fillId="0" borderId="18" xfId="6" applyNumberFormat="1" applyFont="1" applyFill="1" applyBorder="1" applyAlignment="1">
      <alignment horizontal="right" vertical="center"/>
    </xf>
    <xf numFmtId="0" fontId="52" fillId="7" borderId="3" xfId="11" applyFont="1" applyFill="1" applyBorder="1"/>
  </cellXfs>
  <cellStyles count="12">
    <cellStyle name="_TableHead" xfId="10"/>
    <cellStyle name="blp_amount" xfId="5"/>
    <cellStyle name="Comma" xfId="1" builtinId="3"/>
    <cellStyle name="Comma 2" xfId="2"/>
    <cellStyle name="Currency" xfId="8" builtinId="4"/>
    <cellStyle name="Hyperlink" xfId="11" builtinId="8"/>
    <cellStyle name="Hyperlink 2" xfId="3"/>
    <cellStyle name="Normal" xfId="0" builtinId="0"/>
    <cellStyle name="Normal 2" xfId="4"/>
    <cellStyle name="Normal 2 2" xfId="9"/>
    <cellStyle name="Normal 3" xfId="6"/>
    <cellStyle name="Percent" xfId="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8F8F8"/>
      <rgbColor rgb="00FF0000"/>
      <rgbColor rgb="00B1D5A9"/>
      <rgbColor rgb="000000FF"/>
      <rgbColor rgb="00FFFF00"/>
      <rgbColor rgb="00E11F1F"/>
      <rgbColor rgb="0000FFFF"/>
      <rgbColor rgb="00800000"/>
      <rgbColor rgb="00008000"/>
      <rgbColor rgb="00000080"/>
      <rgbColor rgb="0025B14A"/>
      <rgbColor rgb="00810000"/>
      <rgbColor rgb="00008080"/>
      <rgbColor rgb="00EEEEEE"/>
      <rgbColor rgb="007D7D7D"/>
      <rgbColor rgb="00000000"/>
      <rgbColor rgb="00996633"/>
      <rgbColor rgb="000000FF"/>
      <rgbColor rgb="00FF0000"/>
      <rgbColor rgb="00009900"/>
      <rgbColor rgb="00FF33CC"/>
      <rgbColor rgb="00FF6600"/>
      <rgbColor rgb="00969696"/>
      <rgbColor rgb="00000000"/>
      <rgbColor rgb="00996633"/>
      <rgbColor rgb="000000FF"/>
      <rgbColor rgb="00FF0000"/>
      <rgbColor rgb="00009900"/>
      <rgbColor rgb="00FF33CC"/>
      <rgbColor rgb="00FF6600"/>
      <rgbColor rgb="00969696"/>
      <rgbColor rgb="00B8CCE4"/>
      <rgbColor rgb="00CCFFFF"/>
      <rgbColor rgb="00D4E1D1"/>
      <rgbColor rgb="00FF6600"/>
      <rgbColor rgb="00DBE5F1"/>
      <rgbColor rgb="00FF99CC"/>
      <rgbColor rgb="00FFDDD5"/>
      <rgbColor rgb="00FFCC99"/>
      <rgbColor rgb="00477AB7"/>
      <rgbColor rgb="0033CCCC"/>
      <rgbColor rgb="0099CC00"/>
      <rgbColor rgb="00FFCC00"/>
      <rgbColor rgb="00FAB882"/>
      <rgbColor rgb="00FF6600"/>
      <rgbColor rgb="00666699"/>
      <rgbColor rgb="00E0E0E0"/>
      <rgbColor rgb="00003366"/>
      <rgbColor rgb="00649955"/>
      <rgbColor rgb="00003300"/>
      <rgbColor rgb="00333300"/>
      <rgbColor rgb="00993300"/>
      <rgbColor rgb="00BC4D10"/>
      <rgbColor rgb="00333399"/>
      <rgbColor rgb="00333333"/>
    </indexedColors>
    <mruColors>
      <color rgb="FF55B3ED"/>
      <color rgb="FF178ED7"/>
      <color rgb="FF3FFF96"/>
      <color rgb="FF7BFFFF"/>
      <color rgb="FF5AAFE4"/>
      <color rgb="FFBAAA4A"/>
      <color rgb="FF41FDD0"/>
      <color rgb="FF55E9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3</xdr:col>
      <xdr:colOff>47625</xdr:colOff>
      <xdr:row>1</xdr:row>
      <xdr:rowOff>190500</xdr:rowOff>
    </xdr:to>
    <xdr:pic>
      <xdr:nvPicPr>
        <xdr:cNvPr id="18803" name="Picture 10" descr="bloomberg logo blk converted w margin"/>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1476375" cy="419100"/>
        </a:xfrm>
        <a:prstGeom prst="rect">
          <a:avLst/>
        </a:prstGeom>
        <a:noFill/>
        <a:ln w="9525">
          <a:noFill/>
          <a:miter lim="800000"/>
          <a:headEnd/>
          <a:tailEnd/>
        </a:ln>
      </xdr:spPr>
    </xdr:pic>
    <xdr:clientData/>
  </xdr:twoCellAnchor>
  <xdr:twoCellAnchor>
    <xdr:from>
      <xdr:col>3</xdr:col>
      <xdr:colOff>77012</xdr:colOff>
      <xdr:row>0</xdr:row>
      <xdr:rowOff>0</xdr:rowOff>
    </xdr:from>
    <xdr:to>
      <xdr:col>18</xdr:col>
      <xdr:colOff>561976</xdr:colOff>
      <xdr:row>1</xdr:row>
      <xdr:rowOff>190500</xdr:rowOff>
    </xdr:to>
    <xdr:sp macro="" textlink="">
      <xdr:nvSpPr>
        <xdr:cNvPr id="3" name="com_bar"/>
        <xdr:cNvSpPr>
          <a:spLocks noChangeArrowheads="1"/>
        </xdr:cNvSpPr>
      </xdr:nvSpPr>
      <xdr:spPr bwMode="auto">
        <a:xfrm>
          <a:off x="2515412" y="0"/>
          <a:ext cx="9628964" cy="428625"/>
        </a:xfrm>
        <a:prstGeom prst="rect">
          <a:avLst/>
        </a:prstGeom>
        <a:gradFill rotWithShape="1">
          <a:gsLst>
            <a:gs pos="0">
              <a:srgbClr val="477AB7"/>
            </a:gs>
            <a:gs pos="100000">
              <a:srgbClr val="B8CCE4">
                <a:alpha val="74001"/>
              </a:srgbClr>
            </a:gs>
          </a:gsLst>
          <a:lin ang="0" scaled="1"/>
        </a:gradFill>
        <a:ln w="9525">
          <a:solidFill>
            <a:srgbClr val="99CCFF"/>
          </a:solidFill>
          <a:miter lim="800000"/>
          <a:headEnd/>
          <a:tailEnd/>
        </a:ln>
      </xdr:spPr>
      <xdr:txBody>
        <a:bodyPr vertOverflow="clip" wrap="square" lIns="0" tIns="0" rIns="0" bIns="0" anchor="ctr" upright="1"/>
        <a:lstStyle/>
        <a:p>
          <a:pPr algn="ctr" rtl="0">
            <a:defRPr sz="1000"/>
          </a:pPr>
          <a:r>
            <a:rPr lang="en-US" sz="2600" b="1" i="0" u="none" strike="noStrike" baseline="0">
              <a:solidFill>
                <a:srgbClr val="000000"/>
              </a:solidFill>
              <a:latin typeface="Calibri"/>
            </a:rPr>
            <a:t>Public Holder Analysis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s://www.youtube.com/watch?v=QBu_bzxvgdI" TargetMode="External"/><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Message"/>
  <dimension ref="B4:R14"/>
  <sheetViews>
    <sheetView workbookViewId="0">
      <selection activeCell="D18" sqref="D18"/>
    </sheetView>
  </sheetViews>
  <sheetFormatPr defaultRowHeight="18.75" x14ac:dyDescent="0.3"/>
  <cols>
    <col min="1" max="1" width="9.140625" style="1"/>
    <col min="2" max="2" width="3.140625" style="1" customWidth="1"/>
    <col min="3" max="16384" width="9.140625" style="1"/>
  </cols>
  <sheetData>
    <row r="4" spans="2:18" ht="18.75" customHeight="1" x14ac:dyDescent="0.3">
      <c r="B4" s="625" t="s">
        <v>24</v>
      </c>
      <c r="C4" s="625"/>
      <c r="D4" s="625"/>
      <c r="E4" s="625"/>
      <c r="F4" s="625"/>
      <c r="G4" s="625"/>
      <c r="H4" s="625"/>
      <c r="I4" s="625"/>
      <c r="J4" s="625"/>
      <c r="K4" s="625"/>
      <c r="L4" s="625"/>
      <c r="M4" s="625"/>
      <c r="N4" s="625"/>
      <c r="O4" s="625"/>
      <c r="P4" s="625"/>
      <c r="Q4" s="625"/>
      <c r="R4" s="625"/>
    </row>
    <row r="5" spans="2:18" x14ac:dyDescent="0.3">
      <c r="B5" s="625"/>
      <c r="C5" s="625"/>
      <c r="D5" s="625"/>
      <c r="E5" s="625"/>
      <c r="F5" s="625"/>
      <c r="G5" s="625"/>
      <c r="H5" s="625"/>
      <c r="I5" s="625"/>
      <c r="J5" s="625"/>
      <c r="K5" s="625"/>
      <c r="L5" s="625"/>
      <c r="M5" s="625"/>
      <c r="N5" s="625"/>
      <c r="O5" s="625"/>
      <c r="P5" s="625"/>
      <c r="Q5" s="625"/>
      <c r="R5" s="625"/>
    </row>
    <row r="6" spans="2:18" x14ac:dyDescent="0.3">
      <c r="B6" s="625"/>
      <c r="C6" s="625"/>
      <c r="D6" s="625"/>
      <c r="E6" s="625"/>
      <c r="F6" s="625"/>
      <c r="G6" s="625"/>
      <c r="H6" s="625"/>
      <c r="I6" s="625"/>
      <c r="J6" s="625"/>
      <c r="K6" s="625"/>
      <c r="L6" s="625"/>
      <c r="M6" s="625"/>
      <c r="N6" s="625"/>
      <c r="O6" s="625"/>
      <c r="P6" s="625"/>
      <c r="Q6" s="625"/>
      <c r="R6" s="625"/>
    </row>
    <row r="7" spans="2:18" x14ac:dyDescent="0.3">
      <c r="B7" s="625"/>
      <c r="C7" s="625"/>
      <c r="D7" s="625"/>
      <c r="E7" s="625"/>
      <c r="F7" s="625"/>
      <c r="G7" s="625"/>
      <c r="H7" s="625"/>
      <c r="I7" s="625"/>
      <c r="J7" s="625"/>
      <c r="K7" s="625"/>
      <c r="L7" s="625"/>
      <c r="M7" s="625"/>
      <c r="N7" s="625"/>
      <c r="O7" s="625"/>
      <c r="P7" s="625"/>
      <c r="Q7" s="625"/>
      <c r="R7" s="625"/>
    </row>
    <row r="8" spans="2:18" x14ac:dyDescent="0.3">
      <c r="B8" s="625"/>
      <c r="C8" s="625"/>
      <c r="D8" s="625"/>
      <c r="E8" s="625"/>
      <c r="F8" s="625"/>
      <c r="G8" s="625"/>
      <c r="H8" s="625"/>
      <c r="I8" s="625"/>
      <c r="J8" s="625"/>
      <c r="K8" s="625"/>
      <c r="L8" s="625"/>
      <c r="M8" s="625"/>
      <c r="N8" s="625"/>
      <c r="O8" s="625"/>
      <c r="P8" s="625"/>
      <c r="Q8" s="625"/>
      <c r="R8" s="625"/>
    </row>
    <row r="9" spans="2:18" x14ac:dyDescent="0.3">
      <c r="B9" s="625"/>
      <c r="C9" s="625"/>
      <c r="D9" s="625"/>
      <c r="E9" s="625"/>
      <c r="F9" s="625"/>
      <c r="G9" s="625"/>
      <c r="H9" s="625"/>
      <c r="I9" s="625"/>
      <c r="J9" s="625"/>
      <c r="K9" s="625"/>
      <c r="L9" s="625"/>
      <c r="M9" s="625"/>
      <c r="N9" s="625"/>
      <c r="O9" s="625"/>
      <c r="P9" s="625"/>
      <c r="Q9" s="625"/>
      <c r="R9" s="625"/>
    </row>
    <row r="10" spans="2:18" x14ac:dyDescent="0.3">
      <c r="B10" s="625"/>
      <c r="C10" s="625"/>
      <c r="D10" s="625"/>
      <c r="E10" s="625"/>
      <c r="F10" s="625"/>
      <c r="G10" s="625"/>
      <c r="H10" s="625"/>
      <c r="I10" s="625"/>
      <c r="J10" s="625"/>
      <c r="K10" s="625"/>
      <c r="L10" s="625"/>
      <c r="M10" s="625"/>
      <c r="N10" s="625"/>
      <c r="O10" s="625"/>
      <c r="P10" s="625"/>
      <c r="Q10" s="625"/>
      <c r="R10" s="625"/>
    </row>
    <row r="11" spans="2:18" x14ac:dyDescent="0.3">
      <c r="B11" s="625"/>
      <c r="C11" s="625"/>
      <c r="D11" s="625"/>
      <c r="E11" s="625"/>
      <c r="F11" s="625"/>
      <c r="G11" s="625"/>
      <c r="H11" s="625"/>
      <c r="I11" s="625"/>
      <c r="J11" s="625"/>
      <c r="K11" s="625"/>
      <c r="L11" s="625"/>
      <c r="M11" s="625"/>
      <c r="N11" s="625"/>
      <c r="O11" s="625"/>
      <c r="P11" s="625"/>
      <c r="Q11" s="625"/>
      <c r="R11" s="625"/>
    </row>
    <row r="12" spans="2:18" x14ac:dyDescent="0.3">
      <c r="B12" s="625"/>
      <c r="C12" s="625"/>
      <c r="D12" s="625"/>
      <c r="E12" s="625"/>
      <c r="F12" s="625"/>
      <c r="G12" s="625"/>
      <c r="H12" s="625"/>
      <c r="I12" s="625"/>
      <c r="J12" s="625"/>
      <c r="K12" s="625"/>
      <c r="L12" s="625"/>
      <c r="M12" s="625"/>
      <c r="N12" s="625"/>
      <c r="O12" s="625"/>
      <c r="P12" s="625"/>
      <c r="Q12" s="625"/>
      <c r="R12" s="625"/>
    </row>
    <row r="13" spans="2:18" x14ac:dyDescent="0.3">
      <c r="B13" s="625"/>
      <c r="C13" s="625"/>
      <c r="D13" s="625"/>
      <c r="E13" s="625"/>
      <c r="F13" s="625"/>
      <c r="G13" s="625"/>
      <c r="H13" s="625"/>
      <c r="I13" s="625"/>
      <c r="J13" s="625"/>
      <c r="K13" s="625"/>
      <c r="L13" s="625"/>
      <c r="M13" s="625"/>
      <c r="N13" s="625"/>
      <c r="O13" s="625"/>
      <c r="P13" s="625"/>
      <c r="Q13" s="625"/>
      <c r="R13" s="625"/>
    </row>
    <row r="14" spans="2:18" x14ac:dyDescent="0.3">
      <c r="B14" s="625"/>
      <c r="C14" s="625"/>
      <c r="D14" s="625"/>
      <c r="E14" s="625"/>
      <c r="F14" s="625"/>
      <c r="G14" s="625"/>
      <c r="H14" s="625"/>
      <c r="I14" s="625"/>
      <c r="J14" s="625"/>
      <c r="K14" s="625"/>
      <c r="L14" s="625"/>
      <c r="M14" s="625"/>
      <c r="N14" s="625"/>
      <c r="O14" s="625"/>
      <c r="P14" s="625"/>
      <c r="Q14" s="625"/>
      <c r="R14" s="625"/>
    </row>
  </sheetData>
  <mergeCells count="1">
    <mergeCell ref="B4:R14"/>
  </mergeCells>
  <phoneticPr fontId="4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data"/>
  <dimension ref="A1:S34"/>
  <sheetViews>
    <sheetView workbookViewId="0">
      <selection activeCell="B5" sqref="B5"/>
    </sheetView>
  </sheetViews>
  <sheetFormatPr defaultRowHeight="11.25" x14ac:dyDescent="0.2"/>
  <cols>
    <col min="1" max="1" width="21.28515625" style="2" customWidth="1"/>
    <col min="2" max="16384" width="9.140625" style="2"/>
  </cols>
  <sheetData>
    <row r="1" spans="1:19" x14ac:dyDescent="0.2">
      <c r="A1" s="2" t="s">
        <v>1</v>
      </c>
      <c r="B1" s="2" t="s">
        <v>0</v>
      </c>
      <c r="C1" s="2" t="s">
        <v>2</v>
      </c>
      <c r="D1" s="2" t="s">
        <v>3</v>
      </c>
      <c r="E1" s="2" t="s">
        <v>4</v>
      </c>
      <c r="F1" s="2" t="s">
        <v>11</v>
      </c>
      <c r="G1" s="2" t="s">
        <v>12</v>
      </c>
      <c r="H1" s="2" t="s">
        <v>9</v>
      </c>
      <c r="I1" s="2" t="s">
        <v>10</v>
      </c>
      <c r="J1" s="2" t="s">
        <v>13</v>
      </c>
      <c r="K1" s="2" t="s">
        <v>14</v>
      </c>
      <c r="L1" s="2" t="s">
        <v>15</v>
      </c>
      <c r="M1" s="2" t="s">
        <v>16</v>
      </c>
      <c r="N1" s="2" t="s">
        <v>17</v>
      </c>
      <c r="O1" s="2" t="s">
        <v>5</v>
      </c>
      <c r="P1" s="2" t="s">
        <v>6</v>
      </c>
      <c r="Q1" s="2" t="s">
        <v>18</v>
      </c>
      <c r="R1" s="2" t="s">
        <v>19</v>
      </c>
      <c r="S1" s="2" t="s">
        <v>7</v>
      </c>
    </row>
    <row r="2" spans="1:19" x14ac:dyDescent="0.2">
      <c r="C2" s="2">
        <v>0</v>
      </c>
      <c r="D2" s="2">
        <v>-1</v>
      </c>
      <c r="E2" s="2">
        <v>153016</v>
      </c>
      <c r="F2" s="2">
        <v>153016</v>
      </c>
      <c r="G2" s="2">
        <v>1</v>
      </c>
      <c r="H2" s="2" t="s">
        <v>26</v>
      </c>
      <c r="I2" s="2" t="s">
        <v>26</v>
      </c>
      <c r="J2" s="2">
        <v>49429</v>
      </c>
      <c r="K2" s="2">
        <v>0</v>
      </c>
      <c r="L2" s="8">
        <v>41547</v>
      </c>
      <c r="M2" s="2" t="s">
        <v>27</v>
      </c>
      <c r="N2" s="2" t="s">
        <v>28</v>
      </c>
      <c r="O2" s="2">
        <v>28.65</v>
      </c>
      <c r="P2" s="2">
        <v>0</v>
      </c>
      <c r="Q2" s="2" t="s">
        <v>29</v>
      </c>
      <c r="R2" s="2" t="s">
        <v>30</v>
      </c>
      <c r="S2" s="2" t="s">
        <v>31</v>
      </c>
    </row>
    <row r="3" spans="1:19" x14ac:dyDescent="0.2">
      <c r="C3" s="2">
        <v>1</v>
      </c>
      <c r="D3" s="2">
        <v>-1</v>
      </c>
      <c r="E3" s="2">
        <v>81627</v>
      </c>
      <c r="F3" s="2">
        <v>81627</v>
      </c>
      <c r="G3" s="2">
        <v>1</v>
      </c>
      <c r="H3" s="2" t="s">
        <v>32</v>
      </c>
      <c r="I3" s="2" t="s">
        <v>32</v>
      </c>
      <c r="J3" s="2">
        <v>37728</v>
      </c>
      <c r="K3" s="2">
        <v>-387</v>
      </c>
      <c r="L3" s="8">
        <v>41547</v>
      </c>
      <c r="M3" s="2" t="s">
        <v>27</v>
      </c>
      <c r="N3" s="2" t="s">
        <v>28</v>
      </c>
      <c r="O3" s="2">
        <v>21.87</v>
      </c>
      <c r="P3" s="2">
        <v>0</v>
      </c>
      <c r="Q3" s="2" t="s">
        <v>29</v>
      </c>
      <c r="R3" s="2" t="s">
        <v>33</v>
      </c>
      <c r="S3" s="2" t="s">
        <v>31</v>
      </c>
    </row>
    <row r="4" spans="1:19" x14ac:dyDescent="0.2">
      <c r="C4" s="2">
        <v>2</v>
      </c>
      <c r="D4" s="2">
        <v>-1</v>
      </c>
      <c r="E4" s="2">
        <v>16411</v>
      </c>
      <c r="F4" s="2">
        <v>16411</v>
      </c>
      <c r="G4" s="2">
        <v>4</v>
      </c>
      <c r="H4" s="2" t="s">
        <v>34</v>
      </c>
      <c r="I4" s="2" t="s">
        <v>35</v>
      </c>
      <c r="J4" s="2">
        <v>17381</v>
      </c>
      <c r="K4" s="2">
        <v>17381</v>
      </c>
      <c r="L4" s="8">
        <v>41547</v>
      </c>
      <c r="M4" s="2" t="s">
        <v>36</v>
      </c>
      <c r="N4" s="2" t="s">
        <v>28</v>
      </c>
      <c r="O4" s="2">
        <v>10.08</v>
      </c>
      <c r="P4" s="2">
        <v>0</v>
      </c>
      <c r="Q4" s="2" t="s">
        <v>37</v>
      </c>
      <c r="R4" s="2" t="s">
        <v>38</v>
      </c>
      <c r="S4" s="2" t="s">
        <v>31</v>
      </c>
    </row>
    <row r="5" spans="1:19" x14ac:dyDescent="0.2">
      <c r="C5" s="2">
        <v>3</v>
      </c>
      <c r="D5" s="2">
        <v>-1</v>
      </c>
      <c r="E5" s="2">
        <v>82921</v>
      </c>
      <c r="F5" s="2">
        <v>82921</v>
      </c>
      <c r="G5" s="2">
        <v>1</v>
      </c>
      <c r="H5" s="2" t="s">
        <v>39</v>
      </c>
      <c r="I5" s="2" t="s">
        <v>39</v>
      </c>
      <c r="J5" s="2">
        <v>13110</v>
      </c>
      <c r="K5" s="2">
        <v>0</v>
      </c>
      <c r="L5" s="8">
        <v>41547</v>
      </c>
      <c r="M5" s="2" t="s">
        <v>27</v>
      </c>
      <c r="N5" s="2" t="s">
        <v>28</v>
      </c>
      <c r="O5" s="2">
        <v>7.6</v>
      </c>
      <c r="P5" s="2">
        <v>0</v>
      </c>
      <c r="Q5" s="2" t="s">
        <v>40</v>
      </c>
      <c r="R5" s="2" t="s">
        <v>41</v>
      </c>
      <c r="S5" s="2" t="s">
        <v>31</v>
      </c>
    </row>
    <row r="6" spans="1:19" x14ac:dyDescent="0.2">
      <c r="C6" s="2">
        <v>5</v>
      </c>
      <c r="D6" s="2">
        <v>-1</v>
      </c>
      <c r="E6" s="2">
        <v>81026</v>
      </c>
      <c r="F6" s="2">
        <v>81026</v>
      </c>
      <c r="G6" s="2">
        <v>2</v>
      </c>
      <c r="H6" s="2" t="s">
        <v>46</v>
      </c>
      <c r="I6" s="2" t="s">
        <v>46</v>
      </c>
      <c r="J6" s="2">
        <v>11600</v>
      </c>
      <c r="K6" s="2">
        <v>11600</v>
      </c>
      <c r="L6" s="8">
        <v>41547</v>
      </c>
      <c r="M6" s="2" t="s">
        <v>27</v>
      </c>
      <c r="N6" s="2" t="s">
        <v>28</v>
      </c>
      <c r="O6" s="2">
        <v>6.72</v>
      </c>
      <c r="P6" s="2">
        <v>0</v>
      </c>
      <c r="Q6" s="2" t="s">
        <v>29</v>
      </c>
      <c r="R6" s="2" t="s">
        <v>47</v>
      </c>
      <c r="S6" s="2" t="s">
        <v>31</v>
      </c>
    </row>
    <row r="7" spans="1:19" x14ac:dyDescent="0.2">
      <c r="C7" s="2">
        <v>6</v>
      </c>
      <c r="D7" s="2">
        <v>-1</v>
      </c>
      <c r="E7" s="2">
        <v>120467</v>
      </c>
      <c r="F7" s="2">
        <v>120467</v>
      </c>
      <c r="G7" s="2">
        <v>1</v>
      </c>
      <c r="H7" s="2" t="s">
        <v>48</v>
      </c>
      <c r="I7" s="2" t="s">
        <v>48</v>
      </c>
      <c r="J7" s="2">
        <v>10000</v>
      </c>
      <c r="K7" s="2">
        <v>0</v>
      </c>
      <c r="L7" s="8">
        <v>41547</v>
      </c>
      <c r="M7" s="2" t="s">
        <v>27</v>
      </c>
      <c r="N7" s="2" t="s">
        <v>28</v>
      </c>
      <c r="O7" s="2">
        <v>5.8</v>
      </c>
      <c r="P7" s="2">
        <v>0</v>
      </c>
      <c r="Q7" s="2" t="s">
        <v>40</v>
      </c>
      <c r="R7" s="2" t="s">
        <v>30</v>
      </c>
      <c r="S7" s="2" t="s">
        <v>31</v>
      </c>
    </row>
    <row r="8" spans="1:19" x14ac:dyDescent="0.2">
      <c r="C8" s="2">
        <v>7</v>
      </c>
      <c r="D8" s="2">
        <v>-1</v>
      </c>
      <c r="E8" s="2">
        <v>133470</v>
      </c>
      <c r="F8" s="2">
        <v>133470</v>
      </c>
      <c r="G8" s="2">
        <v>1</v>
      </c>
      <c r="H8" s="2" t="s">
        <v>49</v>
      </c>
      <c r="I8" s="2" t="s">
        <v>49</v>
      </c>
      <c r="J8" s="2">
        <v>8100</v>
      </c>
      <c r="K8" s="2">
        <v>0</v>
      </c>
      <c r="L8" s="8">
        <v>41547</v>
      </c>
      <c r="M8" s="2" t="s">
        <v>27</v>
      </c>
      <c r="N8" s="2" t="s">
        <v>28</v>
      </c>
      <c r="O8" s="2">
        <v>4.7</v>
      </c>
      <c r="P8" s="2">
        <v>0</v>
      </c>
      <c r="Q8" s="2" t="s">
        <v>29</v>
      </c>
      <c r="R8" s="2" t="s">
        <v>30</v>
      </c>
      <c r="S8" s="2" t="s">
        <v>31</v>
      </c>
    </row>
    <row r="9" spans="1:19" x14ac:dyDescent="0.2">
      <c r="C9" s="2">
        <v>10</v>
      </c>
      <c r="D9" s="2">
        <v>-1</v>
      </c>
      <c r="E9" s="2">
        <v>142837</v>
      </c>
      <c r="F9" s="2">
        <v>142837</v>
      </c>
      <c r="G9" s="2">
        <v>1</v>
      </c>
      <c r="H9" s="2" t="s">
        <v>55</v>
      </c>
      <c r="I9" s="2" t="s">
        <v>56</v>
      </c>
      <c r="J9" s="2">
        <v>8000</v>
      </c>
      <c r="K9" s="2">
        <v>0</v>
      </c>
      <c r="L9" s="8">
        <v>41547</v>
      </c>
      <c r="M9" s="2" t="s">
        <v>27</v>
      </c>
      <c r="N9" s="2" t="s">
        <v>28</v>
      </c>
      <c r="O9" s="2">
        <v>4.6399999999999997</v>
      </c>
      <c r="P9" s="2">
        <v>0</v>
      </c>
      <c r="Q9" s="2" t="s">
        <v>40</v>
      </c>
      <c r="R9" s="2" t="s">
        <v>57</v>
      </c>
      <c r="S9" s="2" t="s">
        <v>58</v>
      </c>
    </row>
    <row r="10" spans="1:19" x14ac:dyDescent="0.2">
      <c r="C10" s="2">
        <v>8</v>
      </c>
      <c r="D10" s="2">
        <v>-1</v>
      </c>
      <c r="E10" s="2">
        <v>107475</v>
      </c>
      <c r="F10" s="2">
        <v>107475</v>
      </c>
      <c r="G10" s="2">
        <v>0</v>
      </c>
      <c r="H10" s="2" t="s">
        <v>50</v>
      </c>
      <c r="I10" s="2" t="s">
        <v>51</v>
      </c>
      <c r="J10" s="2">
        <v>8000</v>
      </c>
      <c r="K10" s="2">
        <v>-3172</v>
      </c>
      <c r="L10" s="8">
        <v>41455</v>
      </c>
      <c r="M10" s="2" t="s">
        <v>52</v>
      </c>
      <c r="N10" s="2" t="s">
        <v>28</v>
      </c>
      <c r="O10" s="2">
        <v>4.6399999999999997</v>
      </c>
      <c r="P10" s="2">
        <v>0</v>
      </c>
      <c r="Q10" s="2" t="s">
        <v>40</v>
      </c>
      <c r="R10" s="2" t="s">
        <v>38</v>
      </c>
      <c r="S10" s="2" t="s">
        <v>31</v>
      </c>
    </row>
    <row r="11" spans="1:19" x14ac:dyDescent="0.2">
      <c r="C11" s="2">
        <v>11</v>
      </c>
      <c r="D11" s="2">
        <v>-1</v>
      </c>
      <c r="E11" s="2">
        <v>156753</v>
      </c>
      <c r="F11" s="2">
        <v>156753</v>
      </c>
      <c r="G11" s="2">
        <v>1</v>
      </c>
      <c r="H11" s="2" t="s">
        <v>59</v>
      </c>
      <c r="I11" s="2" t="s">
        <v>60</v>
      </c>
      <c r="J11" s="2">
        <v>8000</v>
      </c>
      <c r="K11" s="2">
        <v>-500</v>
      </c>
      <c r="L11" s="8">
        <v>41547</v>
      </c>
      <c r="M11" s="2" t="s">
        <v>27</v>
      </c>
      <c r="N11" s="2" t="s">
        <v>28</v>
      </c>
      <c r="O11" s="2">
        <v>4.6399999999999997</v>
      </c>
      <c r="P11" s="2">
        <v>0</v>
      </c>
      <c r="Q11" s="2" t="s">
        <v>29</v>
      </c>
      <c r="R11" s="2" t="s">
        <v>38</v>
      </c>
      <c r="S11" s="2" t="s">
        <v>31</v>
      </c>
    </row>
    <row r="12" spans="1:19" x14ac:dyDescent="0.2">
      <c r="C12" s="2">
        <v>12</v>
      </c>
      <c r="D12" s="2">
        <v>-1</v>
      </c>
      <c r="E12" s="2">
        <v>89697</v>
      </c>
      <c r="F12" s="2">
        <v>89697</v>
      </c>
      <c r="G12" s="2">
        <v>1</v>
      </c>
      <c r="H12" s="2" t="s">
        <v>61</v>
      </c>
      <c r="I12" s="2" t="s">
        <v>61</v>
      </c>
      <c r="J12" s="2">
        <v>7830</v>
      </c>
      <c r="K12" s="2">
        <v>0</v>
      </c>
      <c r="L12" s="8">
        <v>41547</v>
      </c>
      <c r="M12" s="2" t="s">
        <v>27</v>
      </c>
      <c r="N12" s="2" t="s">
        <v>28</v>
      </c>
      <c r="O12" s="2">
        <v>4.54</v>
      </c>
      <c r="P12" s="2">
        <v>0</v>
      </c>
      <c r="Q12" s="2" t="s">
        <v>29</v>
      </c>
      <c r="R12" s="2" t="s">
        <v>30</v>
      </c>
      <c r="S12" s="2" t="s">
        <v>31</v>
      </c>
    </row>
    <row r="13" spans="1:19" x14ac:dyDescent="0.2">
      <c r="C13" s="2">
        <v>13</v>
      </c>
      <c r="D13" s="2">
        <v>-1</v>
      </c>
      <c r="E13" s="2">
        <v>110740</v>
      </c>
      <c r="F13" s="2">
        <v>110740</v>
      </c>
      <c r="G13" s="2">
        <v>1</v>
      </c>
      <c r="H13" s="2" t="s">
        <v>62</v>
      </c>
      <c r="I13" s="2" t="s">
        <v>62</v>
      </c>
      <c r="J13" s="2">
        <v>6942</v>
      </c>
      <c r="K13" s="2">
        <v>-205</v>
      </c>
      <c r="L13" s="8">
        <v>41547</v>
      </c>
      <c r="M13" s="2" t="s">
        <v>27</v>
      </c>
      <c r="N13" s="2" t="s">
        <v>28</v>
      </c>
      <c r="O13" s="2">
        <v>4.0199999999999996</v>
      </c>
      <c r="P13" s="2">
        <v>0</v>
      </c>
      <c r="Q13" s="2" t="s">
        <v>29</v>
      </c>
      <c r="R13" s="2" t="s">
        <v>30</v>
      </c>
      <c r="S13" s="2" t="s">
        <v>31</v>
      </c>
    </row>
    <row r="14" spans="1:19" x14ac:dyDescent="0.2">
      <c r="C14" s="2">
        <v>14</v>
      </c>
      <c r="D14" s="2">
        <v>-1</v>
      </c>
      <c r="E14" s="2">
        <v>61069</v>
      </c>
      <c r="F14" s="2">
        <v>61069</v>
      </c>
      <c r="G14" s="2">
        <v>1</v>
      </c>
      <c r="H14" s="2" t="s">
        <v>63</v>
      </c>
      <c r="I14" s="2" t="s">
        <v>64</v>
      </c>
      <c r="J14" s="2">
        <v>6775</v>
      </c>
      <c r="K14" s="2">
        <v>-5000</v>
      </c>
      <c r="L14" s="8">
        <v>41547</v>
      </c>
      <c r="M14" s="2" t="s">
        <v>27</v>
      </c>
      <c r="N14" s="2" t="s">
        <v>28</v>
      </c>
      <c r="O14" s="2">
        <v>3.93</v>
      </c>
      <c r="P14" s="2">
        <v>0</v>
      </c>
      <c r="Q14" s="2" t="s">
        <v>29</v>
      </c>
      <c r="R14" s="2" t="s">
        <v>30</v>
      </c>
      <c r="S14" s="2" t="s">
        <v>31</v>
      </c>
    </row>
    <row r="15" spans="1:19" x14ac:dyDescent="0.2">
      <c r="C15" s="2">
        <v>15</v>
      </c>
      <c r="D15" s="2">
        <v>-1</v>
      </c>
      <c r="E15" s="2">
        <v>117222</v>
      </c>
      <c r="F15" s="2">
        <v>117222</v>
      </c>
      <c r="G15" s="2">
        <v>1</v>
      </c>
      <c r="H15" s="2" t="s">
        <v>65</v>
      </c>
      <c r="I15" s="2" t="s">
        <v>65</v>
      </c>
      <c r="J15" s="2">
        <v>5400</v>
      </c>
      <c r="K15" s="2">
        <v>-2500</v>
      </c>
      <c r="L15" s="8">
        <v>41547</v>
      </c>
      <c r="M15" s="2" t="s">
        <v>27</v>
      </c>
      <c r="N15" s="2" t="s">
        <v>28</v>
      </c>
      <c r="O15" s="2">
        <v>3.13</v>
      </c>
      <c r="P15" s="2">
        <v>0</v>
      </c>
      <c r="Q15" s="2" t="s">
        <v>40</v>
      </c>
      <c r="R15" s="2" t="s">
        <v>66</v>
      </c>
      <c r="S15" s="2" t="s">
        <v>31</v>
      </c>
    </row>
    <row r="16" spans="1:19" x14ac:dyDescent="0.2">
      <c r="C16" s="2">
        <v>16</v>
      </c>
      <c r="D16" s="2">
        <v>-1</v>
      </c>
      <c r="E16" s="2">
        <v>203399</v>
      </c>
      <c r="F16" s="2">
        <v>203399</v>
      </c>
      <c r="G16" s="2">
        <v>1</v>
      </c>
      <c r="H16" s="2" t="s">
        <v>67</v>
      </c>
      <c r="I16" s="2" t="s">
        <v>68</v>
      </c>
      <c r="J16" s="2">
        <v>3493</v>
      </c>
      <c r="K16" s="2">
        <v>-144</v>
      </c>
      <c r="L16" s="8">
        <v>41547</v>
      </c>
      <c r="M16" s="2" t="s">
        <v>27</v>
      </c>
      <c r="N16" s="2" t="s">
        <v>28</v>
      </c>
      <c r="O16" s="2">
        <v>2.02</v>
      </c>
      <c r="P16" s="2">
        <v>0</v>
      </c>
      <c r="Q16" s="2" t="s">
        <v>40</v>
      </c>
      <c r="R16" s="2" t="s">
        <v>47</v>
      </c>
      <c r="S16" s="2" t="s">
        <v>31</v>
      </c>
    </row>
    <row r="17" spans="3:19" x14ac:dyDescent="0.2">
      <c r="C17" s="2">
        <v>17</v>
      </c>
      <c r="D17" s="2">
        <v>-1</v>
      </c>
      <c r="E17" s="2">
        <v>138155</v>
      </c>
      <c r="F17" s="2">
        <v>138155</v>
      </c>
      <c r="G17" s="2">
        <v>1</v>
      </c>
      <c r="H17" s="2" t="s">
        <v>69</v>
      </c>
      <c r="I17" s="2" t="s">
        <v>69</v>
      </c>
      <c r="J17" s="2">
        <v>3050</v>
      </c>
      <c r="K17" s="2">
        <v>50</v>
      </c>
      <c r="L17" s="8">
        <v>41547</v>
      </c>
      <c r="M17" s="2" t="s">
        <v>27</v>
      </c>
      <c r="N17" s="2" t="s">
        <v>28</v>
      </c>
      <c r="O17" s="2">
        <v>1.77</v>
      </c>
      <c r="P17" s="2">
        <v>0</v>
      </c>
      <c r="Q17" s="2" t="s">
        <v>29</v>
      </c>
      <c r="R17" s="2" t="s">
        <v>41</v>
      </c>
      <c r="S17" s="2" t="s">
        <v>31</v>
      </c>
    </row>
    <row r="18" spans="3:19" x14ac:dyDescent="0.2">
      <c r="C18" s="2">
        <v>18</v>
      </c>
      <c r="D18" s="2">
        <v>-1</v>
      </c>
      <c r="E18" s="2">
        <v>102194</v>
      </c>
      <c r="F18" s="2">
        <v>102194</v>
      </c>
      <c r="G18" s="2">
        <v>1</v>
      </c>
      <c r="H18" s="2" t="s">
        <v>70</v>
      </c>
      <c r="I18" s="2" t="s">
        <v>70</v>
      </c>
      <c r="J18" s="2">
        <v>1676</v>
      </c>
      <c r="K18" s="2">
        <v>-200</v>
      </c>
      <c r="L18" s="8">
        <v>41547</v>
      </c>
      <c r="M18" s="2" t="s">
        <v>27</v>
      </c>
      <c r="N18" s="2" t="s">
        <v>28</v>
      </c>
      <c r="O18" s="2">
        <v>0.97</v>
      </c>
      <c r="P18" s="2">
        <v>0</v>
      </c>
      <c r="Q18" s="2" t="s">
        <v>40</v>
      </c>
      <c r="R18" s="2" t="s">
        <v>71</v>
      </c>
      <c r="S18" s="2" t="s">
        <v>72</v>
      </c>
    </row>
    <row r="19" spans="3:19" x14ac:dyDescent="0.2">
      <c r="C19" s="2">
        <v>19</v>
      </c>
      <c r="D19" s="2">
        <v>-1</v>
      </c>
      <c r="E19" s="2">
        <v>107661</v>
      </c>
      <c r="F19" s="2">
        <v>107661</v>
      </c>
      <c r="G19" s="2">
        <v>1</v>
      </c>
      <c r="H19" s="2" t="s">
        <v>73</v>
      </c>
      <c r="I19" s="2" t="s">
        <v>73</v>
      </c>
      <c r="J19" s="2">
        <v>1303</v>
      </c>
      <c r="K19" s="2">
        <v>0</v>
      </c>
      <c r="L19" s="8">
        <v>41547</v>
      </c>
      <c r="M19" s="2" t="s">
        <v>27</v>
      </c>
      <c r="N19" s="2" t="s">
        <v>28</v>
      </c>
      <c r="O19" s="2">
        <v>0.76</v>
      </c>
      <c r="P19" s="2">
        <v>0</v>
      </c>
      <c r="Q19" s="2" t="s">
        <v>29</v>
      </c>
      <c r="R19" s="2" t="s">
        <v>30</v>
      </c>
      <c r="S19" s="2" t="s">
        <v>31</v>
      </c>
    </row>
    <row r="20" spans="3:19" x14ac:dyDescent="0.2">
      <c r="C20" s="2">
        <v>21</v>
      </c>
      <c r="D20" s="2">
        <v>-1</v>
      </c>
      <c r="E20" s="2">
        <v>102196</v>
      </c>
      <c r="F20" s="2">
        <v>102196</v>
      </c>
      <c r="G20" s="2">
        <v>1</v>
      </c>
      <c r="H20" s="2" t="s">
        <v>75</v>
      </c>
      <c r="I20" s="2" t="s">
        <v>76</v>
      </c>
      <c r="J20" s="2">
        <v>1000</v>
      </c>
      <c r="K20" s="2">
        <v>0</v>
      </c>
      <c r="L20" s="8">
        <v>41547</v>
      </c>
      <c r="M20" s="2" t="s">
        <v>27</v>
      </c>
      <c r="N20" s="2" t="s">
        <v>28</v>
      </c>
      <c r="O20" s="2">
        <v>0.57999999999999996</v>
      </c>
      <c r="P20" s="2">
        <v>0</v>
      </c>
      <c r="Q20" s="2" t="s">
        <v>40</v>
      </c>
      <c r="R20" s="2" t="s">
        <v>77</v>
      </c>
      <c r="S20" s="2" t="s">
        <v>78</v>
      </c>
    </row>
    <row r="21" spans="3:19" x14ac:dyDescent="0.2">
      <c r="C21" s="2">
        <v>22</v>
      </c>
      <c r="D21" s="2">
        <v>-1</v>
      </c>
      <c r="E21" s="2">
        <v>76845</v>
      </c>
      <c r="F21" s="2">
        <v>76845</v>
      </c>
      <c r="G21" s="2">
        <v>1</v>
      </c>
      <c r="H21" s="2" t="s">
        <v>79</v>
      </c>
      <c r="I21" s="2" t="s">
        <v>80</v>
      </c>
      <c r="J21" s="2">
        <v>704</v>
      </c>
      <c r="K21" s="2">
        <v>148</v>
      </c>
      <c r="L21" s="8">
        <v>41547</v>
      </c>
      <c r="M21" s="2" t="s">
        <v>36</v>
      </c>
      <c r="N21" s="2" t="s">
        <v>28</v>
      </c>
      <c r="O21" s="2">
        <v>0.41</v>
      </c>
      <c r="P21" s="2">
        <v>0</v>
      </c>
      <c r="Q21" s="2" t="s">
        <v>37</v>
      </c>
      <c r="R21" s="2" t="s">
        <v>81</v>
      </c>
      <c r="S21" s="2" t="s">
        <v>31</v>
      </c>
    </row>
    <row r="22" spans="3:19" x14ac:dyDescent="0.2">
      <c r="C22" s="2">
        <v>23</v>
      </c>
      <c r="D22" s="2">
        <v>-1</v>
      </c>
      <c r="E22" s="2">
        <v>80214</v>
      </c>
      <c r="F22" s="2">
        <v>80214</v>
      </c>
      <c r="G22" s="2">
        <v>2</v>
      </c>
      <c r="H22" s="2" t="s">
        <v>82</v>
      </c>
      <c r="I22" s="2" t="s">
        <v>82</v>
      </c>
      <c r="J22" s="2">
        <v>500</v>
      </c>
      <c r="K22" s="2">
        <v>-500</v>
      </c>
      <c r="L22" s="8">
        <v>41547</v>
      </c>
      <c r="M22" s="2" t="s">
        <v>27</v>
      </c>
      <c r="N22" s="2" t="s">
        <v>28</v>
      </c>
      <c r="O22" s="2">
        <v>0.28999999999999998</v>
      </c>
      <c r="P22" s="2">
        <v>0</v>
      </c>
      <c r="Q22" s="2" t="s">
        <v>40</v>
      </c>
      <c r="R22" s="2" t="s">
        <v>30</v>
      </c>
      <c r="S22" s="2" t="s">
        <v>31</v>
      </c>
    </row>
    <row r="23" spans="3:19" x14ac:dyDescent="0.2">
      <c r="C23" s="2">
        <v>25</v>
      </c>
      <c r="D23" s="2">
        <v>-1</v>
      </c>
      <c r="E23" s="2">
        <v>138069</v>
      </c>
      <c r="F23" s="2">
        <v>138069</v>
      </c>
      <c r="G23" s="2">
        <v>1</v>
      </c>
      <c r="H23" s="2" t="s">
        <v>84</v>
      </c>
      <c r="I23" s="2" t="s">
        <v>84</v>
      </c>
      <c r="J23" s="2">
        <v>250</v>
      </c>
      <c r="K23" s="2">
        <v>0</v>
      </c>
      <c r="L23" s="8">
        <v>41547</v>
      </c>
      <c r="M23" s="2" t="s">
        <v>27</v>
      </c>
      <c r="N23" s="2" t="s">
        <v>28</v>
      </c>
      <c r="O23" s="2">
        <v>0.14000000000000001</v>
      </c>
      <c r="P23" s="2">
        <v>0</v>
      </c>
      <c r="Q23" s="2" t="s">
        <v>40</v>
      </c>
      <c r="R23" s="2" t="s">
        <v>30</v>
      </c>
      <c r="S23" s="2" t="s">
        <v>31</v>
      </c>
    </row>
    <row r="24" spans="3:19" x14ac:dyDescent="0.2">
      <c r="C24" s="2">
        <v>24</v>
      </c>
      <c r="D24" s="2">
        <v>-1</v>
      </c>
      <c r="E24" s="2">
        <v>137934</v>
      </c>
      <c r="F24" s="2">
        <v>137934</v>
      </c>
      <c r="G24" s="2">
        <v>1</v>
      </c>
      <c r="H24" s="2" t="s">
        <v>83</v>
      </c>
      <c r="I24" s="2" t="s">
        <v>83</v>
      </c>
      <c r="J24" s="2">
        <v>250</v>
      </c>
      <c r="K24" s="2">
        <v>-250</v>
      </c>
      <c r="L24" s="8">
        <v>41547</v>
      </c>
      <c r="M24" s="2" t="s">
        <v>27</v>
      </c>
      <c r="N24" s="2" t="s">
        <v>28</v>
      </c>
      <c r="O24" s="2">
        <v>0.14000000000000001</v>
      </c>
      <c r="P24" s="2">
        <v>0</v>
      </c>
      <c r="Q24" s="2" t="s">
        <v>40</v>
      </c>
      <c r="R24" s="2" t="s">
        <v>81</v>
      </c>
      <c r="S24" s="2" t="s">
        <v>31</v>
      </c>
    </row>
    <row r="25" spans="3:19" x14ac:dyDescent="0.2">
      <c r="C25" s="2">
        <v>26</v>
      </c>
      <c r="D25" s="2">
        <v>-1</v>
      </c>
      <c r="E25" s="2">
        <v>1059</v>
      </c>
      <c r="F25" s="2">
        <v>1059</v>
      </c>
      <c r="G25" s="2">
        <v>1</v>
      </c>
      <c r="H25" s="2" t="s">
        <v>85</v>
      </c>
      <c r="I25" s="2" t="s">
        <v>85</v>
      </c>
      <c r="J25" s="2">
        <v>193</v>
      </c>
      <c r="K25" s="2">
        <v>0</v>
      </c>
      <c r="L25" s="8">
        <v>41547</v>
      </c>
      <c r="M25" s="2" t="s">
        <v>27</v>
      </c>
      <c r="N25" s="2" t="s">
        <v>28</v>
      </c>
      <c r="O25" s="2">
        <v>0.11</v>
      </c>
      <c r="P25" s="2">
        <v>0</v>
      </c>
      <c r="Q25" s="2" t="s">
        <v>40</v>
      </c>
      <c r="R25" s="2" t="s">
        <v>30</v>
      </c>
      <c r="S25" s="2" t="s">
        <v>31</v>
      </c>
    </row>
    <row r="26" spans="3:19" x14ac:dyDescent="0.2">
      <c r="C26" s="2">
        <v>27</v>
      </c>
      <c r="D26" s="2">
        <v>-1</v>
      </c>
      <c r="E26" s="2">
        <v>75505</v>
      </c>
      <c r="F26" s="2">
        <v>75505</v>
      </c>
      <c r="G26" s="2">
        <v>1</v>
      </c>
      <c r="H26" s="2" t="s">
        <v>86</v>
      </c>
      <c r="I26" s="2" t="s">
        <v>87</v>
      </c>
      <c r="J26" s="2">
        <v>3</v>
      </c>
      <c r="K26" s="2">
        <v>3</v>
      </c>
      <c r="L26" s="8">
        <v>41547</v>
      </c>
      <c r="M26" s="2" t="s">
        <v>27</v>
      </c>
      <c r="N26" s="2" t="s">
        <v>28</v>
      </c>
      <c r="O26" s="2">
        <v>0</v>
      </c>
      <c r="P26" s="2">
        <v>0</v>
      </c>
      <c r="Q26" s="2" t="s">
        <v>40</v>
      </c>
      <c r="R26" s="2" t="s">
        <v>88</v>
      </c>
      <c r="S26" s="2" t="s">
        <v>31</v>
      </c>
    </row>
    <row r="27" spans="3:19" x14ac:dyDescent="0.2">
      <c r="C27" s="2">
        <v>28</v>
      </c>
      <c r="D27" s="2">
        <v>-1</v>
      </c>
      <c r="E27" s="2">
        <v>177272</v>
      </c>
      <c r="F27" s="2">
        <v>177272</v>
      </c>
      <c r="G27" s="2">
        <v>1</v>
      </c>
      <c r="H27" s="2" t="s">
        <v>89</v>
      </c>
      <c r="I27" s="2" t="s">
        <v>89</v>
      </c>
      <c r="J27" s="2">
        <v>0</v>
      </c>
      <c r="K27" s="2">
        <v>-1579</v>
      </c>
      <c r="L27" s="8">
        <v>41547</v>
      </c>
      <c r="M27" s="2" t="s">
        <v>27</v>
      </c>
      <c r="N27" s="2" t="s">
        <v>28</v>
      </c>
      <c r="O27" s="2">
        <v>0</v>
      </c>
      <c r="P27" s="2">
        <v>0</v>
      </c>
      <c r="Q27" s="2" t="s">
        <v>40</v>
      </c>
      <c r="R27" s="2" t="s">
        <v>90</v>
      </c>
      <c r="S27" s="2" t="s">
        <v>91</v>
      </c>
    </row>
    <row r="28" spans="3:19" x14ac:dyDescent="0.2">
      <c r="C28" s="2">
        <v>30</v>
      </c>
      <c r="D28" s="2">
        <v>-1</v>
      </c>
      <c r="E28" s="2">
        <v>209976</v>
      </c>
      <c r="F28" s="2">
        <v>209976</v>
      </c>
      <c r="G28" s="2">
        <v>0</v>
      </c>
      <c r="H28" s="2" t="s">
        <v>94</v>
      </c>
      <c r="I28" s="2" t="s">
        <v>51</v>
      </c>
      <c r="J28" s="2">
        <v>0</v>
      </c>
      <c r="K28" s="2">
        <v>-1808</v>
      </c>
      <c r="L28" s="8">
        <v>41486</v>
      </c>
      <c r="M28" s="2" t="s">
        <v>52</v>
      </c>
      <c r="N28" s="2" t="s">
        <v>28</v>
      </c>
      <c r="O28" s="2">
        <v>0</v>
      </c>
      <c r="P28" s="2">
        <v>0</v>
      </c>
      <c r="Q28" s="2" t="s">
        <v>40</v>
      </c>
      <c r="R28" s="2" t="s">
        <v>38</v>
      </c>
      <c r="S28" s="2" t="s">
        <v>31</v>
      </c>
    </row>
    <row r="29" spans="3:19" x14ac:dyDescent="0.2">
      <c r="C29" s="2">
        <v>29</v>
      </c>
      <c r="D29" s="2">
        <v>-1</v>
      </c>
      <c r="E29" s="2">
        <v>178538</v>
      </c>
      <c r="F29" s="2">
        <v>178538</v>
      </c>
      <c r="G29" s="2">
        <v>1</v>
      </c>
      <c r="H29" s="2" t="s">
        <v>92</v>
      </c>
      <c r="I29" s="2" t="s">
        <v>93</v>
      </c>
      <c r="J29" s="2">
        <v>0</v>
      </c>
      <c r="K29" s="2">
        <v>-3100</v>
      </c>
      <c r="L29" s="8">
        <v>41547</v>
      </c>
      <c r="M29" s="2" t="s">
        <v>27</v>
      </c>
      <c r="N29" s="2" t="s">
        <v>28</v>
      </c>
      <c r="O29" s="2">
        <v>0</v>
      </c>
      <c r="P29" s="2">
        <v>0</v>
      </c>
      <c r="Q29" s="2" t="s">
        <v>40</v>
      </c>
      <c r="R29" s="2" t="s">
        <v>66</v>
      </c>
      <c r="S29" s="2" t="s">
        <v>31</v>
      </c>
    </row>
    <row r="30" spans="3:19" x14ac:dyDescent="0.2">
      <c r="C30" s="2">
        <v>4</v>
      </c>
      <c r="D30" s="2">
        <v>3</v>
      </c>
      <c r="E30" s="2">
        <v>82921</v>
      </c>
      <c r="F30" s="2">
        <v>13796</v>
      </c>
      <c r="G30" s="2">
        <v>13</v>
      </c>
      <c r="H30" s="2" t="s">
        <v>42</v>
      </c>
      <c r="I30" s="2" t="s">
        <v>43</v>
      </c>
      <c r="J30" s="2">
        <v>6060</v>
      </c>
      <c r="K30" s="2">
        <v>0</v>
      </c>
      <c r="L30" s="8">
        <v>41455</v>
      </c>
      <c r="M30" s="2" t="s">
        <v>44</v>
      </c>
      <c r="N30" s="2" t="s">
        <v>45</v>
      </c>
      <c r="O30" s="2">
        <v>3.51</v>
      </c>
      <c r="P30" s="2">
        <v>0</v>
      </c>
      <c r="Q30" s="2" t="s">
        <v>40</v>
      </c>
      <c r="R30" s="2" t="s">
        <v>41</v>
      </c>
      <c r="S30" s="2" t="s">
        <v>31</v>
      </c>
    </row>
    <row r="31" spans="3:19" x14ac:dyDescent="0.2">
      <c r="C31" s="2">
        <v>9</v>
      </c>
      <c r="D31" s="2">
        <v>8</v>
      </c>
      <c r="E31" s="2">
        <v>107475</v>
      </c>
      <c r="F31" s="2">
        <v>47350</v>
      </c>
      <c r="G31" s="2">
        <v>3</v>
      </c>
      <c r="H31" s="2" t="s">
        <v>53</v>
      </c>
      <c r="I31" s="2" t="s">
        <v>54</v>
      </c>
      <c r="J31" s="2">
        <v>8000</v>
      </c>
      <c r="K31" s="2">
        <v>-3172</v>
      </c>
      <c r="L31" s="8">
        <v>41455</v>
      </c>
      <c r="M31" s="2" t="s">
        <v>44</v>
      </c>
      <c r="N31" s="2" t="s">
        <v>45</v>
      </c>
      <c r="O31" s="2">
        <v>4.6399999999999997</v>
      </c>
      <c r="P31" s="2">
        <v>0</v>
      </c>
      <c r="Q31" s="2" t="s">
        <v>40</v>
      </c>
      <c r="R31" s="2" t="s">
        <v>38</v>
      </c>
      <c r="S31" s="2" t="s">
        <v>31</v>
      </c>
    </row>
    <row r="32" spans="3:19" x14ac:dyDescent="0.2">
      <c r="C32" s="2">
        <v>20</v>
      </c>
      <c r="D32" s="2">
        <v>19</v>
      </c>
      <c r="E32" s="2">
        <v>107661</v>
      </c>
      <c r="F32" s="2">
        <v>107661</v>
      </c>
      <c r="G32" s="2">
        <v>7</v>
      </c>
      <c r="H32" s="2" t="s">
        <v>73</v>
      </c>
      <c r="I32" s="2" t="s">
        <v>74</v>
      </c>
      <c r="J32" s="2">
        <v>1303</v>
      </c>
      <c r="K32" s="2">
        <v>0</v>
      </c>
      <c r="L32" s="8">
        <v>41547</v>
      </c>
      <c r="M32" s="2" t="s">
        <v>44</v>
      </c>
      <c r="N32" s="2" t="s">
        <v>45</v>
      </c>
      <c r="O32" s="2">
        <v>0.76</v>
      </c>
      <c r="P32" s="2">
        <v>0</v>
      </c>
      <c r="Q32" s="2" t="s">
        <v>29</v>
      </c>
      <c r="R32" s="2" t="s">
        <v>30</v>
      </c>
      <c r="S32" s="2" t="s">
        <v>31</v>
      </c>
    </row>
    <row r="33" spans="3:19" x14ac:dyDescent="0.2">
      <c r="C33" s="2">
        <v>32</v>
      </c>
      <c r="D33" s="2">
        <v>30</v>
      </c>
      <c r="E33" s="2">
        <v>209976</v>
      </c>
      <c r="F33" s="2">
        <v>209976</v>
      </c>
      <c r="G33" s="2">
        <v>1</v>
      </c>
      <c r="H33" s="2" t="s">
        <v>94</v>
      </c>
      <c r="I33" s="2" t="s">
        <v>96</v>
      </c>
      <c r="J33" s="2">
        <v>0</v>
      </c>
      <c r="K33" s="2">
        <v>-161</v>
      </c>
      <c r="L33" s="8">
        <v>41486</v>
      </c>
      <c r="M33" s="2" t="s">
        <v>44</v>
      </c>
      <c r="N33" s="2" t="s">
        <v>45</v>
      </c>
      <c r="O33" s="2">
        <v>0</v>
      </c>
      <c r="P33" s="2">
        <v>0</v>
      </c>
      <c r="Q33" s="2" t="s">
        <v>40</v>
      </c>
      <c r="R33" s="2" t="s">
        <v>38</v>
      </c>
      <c r="S33" s="2" t="s">
        <v>31</v>
      </c>
    </row>
    <row r="34" spans="3:19" x14ac:dyDescent="0.2">
      <c r="C34" s="2">
        <v>31</v>
      </c>
      <c r="D34" s="2">
        <v>30</v>
      </c>
      <c r="E34" s="2">
        <v>209976</v>
      </c>
      <c r="F34" s="2">
        <v>209976</v>
      </c>
      <c r="G34" s="2">
        <v>2</v>
      </c>
      <c r="H34" s="2" t="s">
        <v>94</v>
      </c>
      <c r="I34" s="2" t="s">
        <v>95</v>
      </c>
      <c r="J34" s="2">
        <v>0</v>
      </c>
      <c r="K34" s="2">
        <v>-1647</v>
      </c>
      <c r="L34" s="8">
        <v>41453</v>
      </c>
      <c r="M34" s="2" t="s">
        <v>44</v>
      </c>
      <c r="N34" s="2" t="s">
        <v>45</v>
      </c>
      <c r="O34" s="2">
        <v>0</v>
      </c>
      <c r="P34" s="2">
        <v>0</v>
      </c>
      <c r="Q34" s="2" t="s">
        <v>40</v>
      </c>
      <c r="R34" s="2" t="s">
        <v>38</v>
      </c>
      <c r="S34" s="2" t="s">
        <v>31</v>
      </c>
    </row>
  </sheetData>
  <sortState ref="A2:S34">
    <sortCondition ref="D2"/>
    <sortCondition descending="1" ref="J1"/>
  </sortState>
  <phoneticPr fontId="4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settings"/>
  <dimension ref="A1:B4"/>
  <sheetViews>
    <sheetView workbookViewId="0">
      <selection activeCell="B3" sqref="B3"/>
    </sheetView>
  </sheetViews>
  <sheetFormatPr defaultRowHeight="12.75" x14ac:dyDescent="0.2"/>
  <cols>
    <col min="1" max="1" width="29.7109375" style="4" bestFit="1" customWidth="1"/>
    <col min="2" max="2" width="38.42578125" style="5" customWidth="1"/>
    <col min="3" max="3" width="38.42578125" style="3" customWidth="1"/>
    <col min="4" max="16384" width="9.140625" style="3"/>
  </cols>
  <sheetData>
    <row r="1" spans="1:2" s="7" customFormat="1" x14ac:dyDescent="0.2">
      <c r="A1" s="6" t="s">
        <v>22</v>
      </c>
      <c r="B1" s="6" t="s">
        <v>23</v>
      </c>
    </row>
    <row r="2" spans="1:2" x14ac:dyDescent="0.2">
      <c r="A2" s="4" t="s">
        <v>8</v>
      </c>
      <c r="B2" s="5" t="s">
        <v>25</v>
      </c>
    </row>
    <row r="3" spans="1:2" x14ac:dyDescent="0.2">
      <c r="A3" s="4" t="s">
        <v>20</v>
      </c>
    </row>
    <row r="4" spans="1:2" x14ac:dyDescent="0.2">
      <c r="A4" s="4" t="s">
        <v>21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AD670"/>
  <sheetViews>
    <sheetView showGridLines="0" zoomScale="80" zoomScaleNormal="80" workbookViewId="0">
      <pane xSplit="1" ySplit="3" topLeftCell="B4" activePane="bottomRight" state="frozen"/>
      <selection pane="topRight" activeCell="B1" sqref="B1"/>
      <selection pane="bottomLeft" activeCell="A3" sqref="A3"/>
      <selection pane="bottomRight" activeCell="A2" sqref="A2"/>
    </sheetView>
  </sheetViews>
  <sheetFormatPr defaultRowHeight="15" x14ac:dyDescent="0.25"/>
  <cols>
    <col min="1" max="1" width="54.28515625" style="31" customWidth="1"/>
    <col min="2" max="2" width="13.42578125" style="31" bestFit="1" customWidth="1"/>
    <col min="3" max="3" width="13.42578125" style="31" customWidth="1"/>
    <col min="4" max="9" width="14.7109375" style="31" customWidth="1"/>
    <col min="10" max="10" width="14.7109375" style="104" customWidth="1"/>
    <col min="11" max="21" width="14.7109375" style="31" customWidth="1"/>
    <col min="22" max="22" width="9.140625" style="31"/>
    <col min="23" max="23" width="14.7109375" style="31" customWidth="1"/>
    <col min="24" max="16384" width="9.140625" style="31"/>
  </cols>
  <sheetData>
    <row r="1" spans="1:27" x14ac:dyDescent="0.25">
      <c r="D1" s="32">
        <v>0</v>
      </c>
      <c r="E1" s="32">
        <f t="shared" ref="E1:L1" si="0">D1+1</f>
        <v>1</v>
      </c>
      <c r="F1" s="32">
        <f t="shared" si="0"/>
        <v>2</v>
      </c>
      <c r="G1" s="32">
        <f t="shared" si="0"/>
        <v>3</v>
      </c>
      <c r="H1" s="32">
        <f t="shared" si="0"/>
        <v>4</v>
      </c>
      <c r="I1" s="32">
        <f t="shared" si="0"/>
        <v>5</v>
      </c>
      <c r="J1" s="32">
        <f t="shared" si="0"/>
        <v>6</v>
      </c>
      <c r="K1" s="32">
        <f t="shared" si="0"/>
        <v>7</v>
      </c>
      <c r="L1" s="32">
        <f t="shared" si="0"/>
        <v>8</v>
      </c>
      <c r="M1" s="32">
        <v>9</v>
      </c>
      <c r="N1" s="32">
        <v>10</v>
      </c>
      <c r="O1" s="32">
        <v>11</v>
      </c>
      <c r="P1" s="32">
        <v>12</v>
      </c>
      <c r="Q1" s="32"/>
      <c r="R1" s="32">
        <v>13</v>
      </c>
      <c r="S1" s="32">
        <v>14</v>
      </c>
      <c r="T1" s="32">
        <v>15</v>
      </c>
      <c r="U1" s="32">
        <v>16</v>
      </c>
      <c r="V1" s="32"/>
      <c r="W1" s="32">
        <f>U1</f>
        <v>16</v>
      </c>
      <c r="X1" s="32">
        <f>W1+4</f>
        <v>20</v>
      </c>
      <c r="Y1" s="32">
        <f>X1+4</f>
        <v>24</v>
      </c>
      <c r="Z1" s="32">
        <f>Y1+4</f>
        <v>28</v>
      </c>
      <c r="AA1" s="32">
        <f>Z1+4</f>
        <v>32</v>
      </c>
    </row>
    <row r="2" spans="1:27" x14ac:dyDescent="0.25">
      <c r="D2" s="626" t="s">
        <v>8681</v>
      </c>
      <c r="E2" s="627"/>
      <c r="F2" s="627"/>
      <c r="G2" s="627"/>
      <c r="H2" s="627"/>
      <c r="I2" s="627"/>
      <c r="J2" s="627"/>
      <c r="K2" s="627"/>
      <c r="L2" s="627"/>
      <c r="M2" s="627"/>
      <c r="N2" s="627"/>
      <c r="O2" s="627"/>
      <c r="P2" s="628"/>
      <c r="R2" s="626" t="s">
        <v>221</v>
      </c>
      <c r="S2" s="627"/>
      <c r="T2" s="627"/>
      <c r="U2" s="628"/>
      <c r="W2" s="626" t="s">
        <v>222</v>
      </c>
      <c r="X2" s="627"/>
      <c r="Y2" s="627"/>
      <c r="Z2" s="627"/>
      <c r="AA2" s="628"/>
    </row>
    <row r="3" spans="1:27" s="33" customFormat="1" x14ac:dyDescent="0.25">
      <c r="B3" s="34"/>
      <c r="C3" s="34"/>
      <c r="D3" s="35" t="s">
        <v>126</v>
      </c>
      <c r="E3" s="35" t="s">
        <v>124</v>
      </c>
      <c r="F3" s="35" t="s">
        <v>123</v>
      </c>
      <c r="G3" s="35" t="s">
        <v>120</v>
      </c>
      <c r="H3" s="35" t="s">
        <v>115</v>
      </c>
      <c r="I3" s="35" t="s">
        <v>122</v>
      </c>
      <c r="J3" s="132" t="s">
        <v>121</v>
      </c>
      <c r="K3" s="35" t="s">
        <v>119</v>
      </c>
      <c r="L3" s="35" t="s">
        <v>286</v>
      </c>
      <c r="M3" s="35" t="s">
        <v>8665</v>
      </c>
      <c r="N3" s="132" t="s">
        <v>8680</v>
      </c>
      <c r="O3" s="35" t="s">
        <v>8846</v>
      </c>
      <c r="P3" s="35" t="s">
        <v>8849</v>
      </c>
      <c r="R3" s="36" t="s">
        <v>228</v>
      </c>
      <c r="S3" s="36" t="s">
        <v>229</v>
      </c>
      <c r="T3" s="36" t="s">
        <v>230</v>
      </c>
      <c r="U3" s="36" t="s">
        <v>231</v>
      </c>
      <c r="W3" s="36" t="s">
        <v>223</v>
      </c>
      <c r="X3" s="36" t="s">
        <v>224</v>
      </c>
      <c r="Y3" s="36" t="s">
        <v>225</v>
      </c>
      <c r="Z3" s="36" t="s">
        <v>226</v>
      </c>
      <c r="AA3" s="36" t="s">
        <v>227</v>
      </c>
    </row>
    <row r="4" spans="1:27" x14ac:dyDescent="0.25">
      <c r="B4" s="37"/>
      <c r="C4" s="37"/>
      <c r="D4" s="38"/>
      <c r="E4" s="38"/>
      <c r="F4" s="38"/>
      <c r="G4" s="38"/>
      <c r="H4" s="38"/>
      <c r="I4" s="38"/>
      <c r="J4" s="133"/>
      <c r="K4" s="38"/>
      <c r="L4" s="38"/>
      <c r="M4" s="38"/>
      <c r="N4" s="38"/>
      <c r="O4" s="38"/>
      <c r="P4" s="38"/>
    </row>
    <row r="5" spans="1:27" x14ac:dyDescent="0.25">
      <c r="A5" s="39" t="s">
        <v>8686</v>
      </c>
      <c r="B5" s="40"/>
      <c r="C5" s="40"/>
      <c r="D5" s="40"/>
      <c r="E5" s="40"/>
      <c r="F5" s="40"/>
      <c r="G5" s="40"/>
      <c r="H5" s="40"/>
      <c r="I5" s="40"/>
      <c r="J5" s="40"/>
      <c r="K5" s="40"/>
      <c r="L5" s="40"/>
      <c r="M5" s="40"/>
      <c r="N5" s="40"/>
      <c r="O5" s="40"/>
      <c r="P5" s="40"/>
      <c r="Q5" s="41"/>
      <c r="R5" s="41"/>
      <c r="S5" s="41"/>
      <c r="T5" s="41"/>
      <c r="U5" s="41"/>
      <c r="V5" s="41"/>
      <c r="W5" s="41"/>
      <c r="X5" s="41"/>
      <c r="Y5" s="41"/>
      <c r="Z5" s="41"/>
      <c r="AA5" s="42"/>
    </row>
    <row r="6" spans="1:27" x14ac:dyDescent="0.25">
      <c r="B6" s="37"/>
      <c r="C6" s="37"/>
      <c r="D6" s="38"/>
      <c r="E6" s="38"/>
      <c r="F6" s="38"/>
      <c r="G6" s="38"/>
      <c r="H6" s="38"/>
      <c r="I6" s="38"/>
      <c r="J6" s="133"/>
      <c r="K6" s="38"/>
      <c r="L6" s="38"/>
      <c r="M6" s="38"/>
      <c r="N6" s="38"/>
      <c r="O6" s="38"/>
      <c r="P6" s="38"/>
    </row>
    <row r="7" spans="1:27" x14ac:dyDescent="0.25">
      <c r="A7" s="353" t="s">
        <v>112</v>
      </c>
      <c r="B7" s="37"/>
      <c r="C7" s="37"/>
      <c r="D7" s="38"/>
      <c r="E7" s="38"/>
      <c r="F7" s="38"/>
      <c r="G7" s="38"/>
      <c r="H7" s="38"/>
      <c r="I7" s="38"/>
      <c r="J7" s="133"/>
      <c r="K7" s="38"/>
      <c r="L7" s="38"/>
      <c r="M7" s="38"/>
      <c r="N7" s="38"/>
      <c r="O7" s="38"/>
      <c r="P7" s="38"/>
      <c r="R7" s="122">
        <f>R93</f>
        <v>8.3461005157828588E-2</v>
      </c>
      <c r="S7" s="55">
        <f>S93</f>
        <v>0.68840577240801137</v>
      </c>
      <c r="T7" s="55">
        <f>T93</f>
        <v>3.3089352631179842</v>
      </c>
      <c r="U7" s="55">
        <f>U93</f>
        <v>1.4977652177901197</v>
      </c>
      <c r="V7" s="55"/>
      <c r="W7" s="55">
        <f>W93</f>
        <v>5.5785672584739441</v>
      </c>
      <c r="X7" s="55">
        <f>X93</f>
        <v>20.333981145501657</v>
      </c>
      <c r="Y7" s="55">
        <f>Y93</f>
        <v>35.604845474043522</v>
      </c>
      <c r="Z7" s="55">
        <f>Z93</f>
        <v>51.333816964441624</v>
      </c>
      <c r="AA7" s="55">
        <f>AA93</f>
        <v>67.534638456191445</v>
      </c>
    </row>
    <row r="8" spans="1:27" x14ac:dyDescent="0.25">
      <c r="A8" s="353" t="s">
        <v>106</v>
      </c>
      <c r="B8" s="37"/>
      <c r="C8" s="37"/>
      <c r="D8" s="38"/>
      <c r="E8" s="38"/>
      <c r="F8" s="38"/>
      <c r="G8" s="38"/>
      <c r="H8" s="38"/>
      <c r="I8" s="38"/>
      <c r="J8" s="133"/>
      <c r="K8" s="38"/>
      <c r="L8" s="38"/>
      <c r="M8" s="38"/>
      <c r="N8" s="38"/>
      <c r="O8" s="38"/>
      <c r="P8" s="38"/>
      <c r="R8" s="122">
        <f>R82</f>
        <v>24.214517950104792</v>
      </c>
      <c r="S8" s="55">
        <f>S82</f>
        <v>27.824518735124109</v>
      </c>
      <c r="T8" s="55">
        <f>T82</f>
        <v>22.669881321090859</v>
      </c>
      <c r="U8" s="55">
        <f>U82</f>
        <v>22.097686650569162</v>
      </c>
      <c r="V8" s="55"/>
      <c r="W8" s="55">
        <f>W82</f>
        <v>96.806604656888922</v>
      </c>
      <c r="X8" s="55">
        <f>X82</f>
        <v>96.641676051656006</v>
      </c>
      <c r="Y8" s="55">
        <f>Y82</f>
        <v>96.641676051656006</v>
      </c>
      <c r="Z8" s="55">
        <f>Z82</f>
        <v>96.641676051656006</v>
      </c>
      <c r="AA8" s="55">
        <f>AA82</f>
        <v>96.641676051656006</v>
      </c>
    </row>
    <row r="9" spans="1:27" x14ac:dyDescent="0.25">
      <c r="A9" s="353" t="s">
        <v>335</v>
      </c>
      <c r="B9" s="37"/>
      <c r="C9" s="37"/>
      <c r="D9" s="38"/>
      <c r="E9" s="38"/>
      <c r="F9" s="38"/>
      <c r="G9" s="38"/>
      <c r="H9" s="38"/>
      <c r="I9" s="38"/>
      <c r="J9" s="133"/>
      <c r="K9" s="38"/>
      <c r="L9" s="38"/>
      <c r="M9" s="38"/>
      <c r="N9" s="38"/>
      <c r="O9" s="38"/>
      <c r="P9" s="38"/>
      <c r="R9" s="122">
        <f>-R92</f>
        <v>-2.300000000000324E-2</v>
      </c>
      <c r="S9" s="55">
        <f>-S92</f>
        <v>-2.300000000000324E-2</v>
      </c>
      <c r="T9" s="55">
        <f>-T92</f>
        <v>-2.300000000000324E-2</v>
      </c>
      <c r="U9" s="55">
        <f>-U92</f>
        <v>-2.300000000000324E-2</v>
      </c>
      <c r="V9" s="55"/>
      <c r="W9" s="55">
        <f>-W92</f>
        <v>-9.200000000001296E-2</v>
      </c>
      <c r="X9" s="55">
        <f>-X92</f>
        <v>-9.3840000000013218E-2</v>
      </c>
      <c r="Y9" s="55">
        <f>-Y92</f>
        <v>-9.571680000001348E-2</v>
      </c>
      <c r="Z9" s="55">
        <f>-Z92</f>
        <v>-9.7631136000013746E-2</v>
      </c>
      <c r="AA9" s="55">
        <f>-AA92</f>
        <v>-9.9583758720014029E-2</v>
      </c>
    </row>
    <row r="10" spans="1:27" x14ac:dyDescent="0.25">
      <c r="A10" s="353"/>
      <c r="B10" s="37"/>
      <c r="C10" s="37"/>
      <c r="D10" s="38"/>
      <c r="E10" s="38"/>
      <c r="F10" s="38"/>
      <c r="G10" s="38"/>
      <c r="H10" s="38"/>
      <c r="I10" s="38"/>
      <c r="J10" s="133"/>
      <c r="K10" s="38"/>
      <c r="L10" s="38"/>
      <c r="M10" s="38"/>
      <c r="N10" s="38"/>
      <c r="O10" s="38"/>
      <c r="P10" s="38"/>
      <c r="R10" s="122"/>
      <c r="S10" s="55"/>
      <c r="T10" s="55"/>
      <c r="U10" s="55"/>
      <c r="V10" s="55"/>
      <c r="W10" s="55"/>
      <c r="X10" s="55"/>
      <c r="Y10" s="55"/>
      <c r="Z10" s="55"/>
      <c r="AA10" s="55"/>
    </row>
    <row r="11" spans="1:27" x14ac:dyDescent="0.25">
      <c r="A11" s="353" t="s">
        <v>324</v>
      </c>
      <c r="B11" s="37"/>
      <c r="C11" s="37"/>
      <c r="D11" s="38"/>
      <c r="E11" s="38"/>
      <c r="F11" s="38"/>
      <c r="G11" s="38"/>
      <c r="H11" s="38"/>
      <c r="I11" s="38"/>
      <c r="J11" s="133"/>
      <c r="K11" s="38"/>
      <c r="L11" s="38"/>
      <c r="M11" s="38"/>
      <c r="N11" s="38"/>
      <c r="O11" s="38"/>
      <c r="P11" s="38"/>
      <c r="R11" s="122"/>
      <c r="S11" s="55"/>
      <c r="T11" s="55"/>
      <c r="U11" s="55"/>
      <c r="V11" s="55"/>
      <c r="W11" s="55"/>
      <c r="X11" s="55"/>
      <c r="Y11" s="55"/>
      <c r="Z11" s="55"/>
      <c r="AA11" s="55"/>
    </row>
    <row r="12" spans="1:27" x14ac:dyDescent="0.25">
      <c r="A12" s="354" t="str">
        <f>A110</f>
        <v>Receivables, net</v>
      </c>
      <c r="B12" s="37"/>
      <c r="C12" s="37"/>
      <c r="D12" s="38"/>
      <c r="E12" s="38"/>
      <c r="F12" s="38"/>
      <c r="G12" s="38"/>
      <c r="H12" s="38"/>
      <c r="I12" s="38"/>
      <c r="J12" s="133"/>
      <c r="K12" s="38"/>
      <c r="L12" s="38"/>
      <c r="M12" s="38"/>
      <c r="N12" s="64"/>
      <c r="O12" s="38"/>
      <c r="P12" s="38"/>
      <c r="R12" s="122">
        <f>P110-R110</f>
        <v>-0.53171787275487858</v>
      </c>
      <c r="S12" s="55">
        <f t="shared" ref="S12:U16" si="1">R110-S110</f>
        <v>-2.0319998443477623</v>
      </c>
      <c r="T12" s="55">
        <f t="shared" si="1"/>
        <v>-0.84888807630159846</v>
      </c>
      <c r="U12" s="55">
        <f t="shared" si="1"/>
        <v>0.94552074052300839</v>
      </c>
      <c r="V12" s="55"/>
      <c r="W12" s="55">
        <f t="shared" ref="W12:W18" si="2">SUM(R12:U12)</f>
        <v>-2.4670850528812309</v>
      </c>
      <c r="X12" s="55">
        <f t="shared" ref="X12:AA16" si="3">W110-X110</f>
        <v>-0.4516914385073072</v>
      </c>
      <c r="Y12" s="55">
        <f t="shared" si="3"/>
        <v>-0.75011329474165933</v>
      </c>
      <c r="Z12" s="55">
        <f t="shared" si="3"/>
        <v>-0.77261669358390961</v>
      </c>
      <c r="AA12" s="55">
        <f t="shared" si="3"/>
        <v>-0.79579519439141677</v>
      </c>
    </row>
    <row r="13" spans="1:27" x14ac:dyDescent="0.25">
      <c r="A13" s="354" t="str">
        <f>A111</f>
        <v>Inventories</v>
      </c>
      <c r="B13" s="37"/>
      <c r="C13" s="37"/>
      <c r="D13" s="38"/>
      <c r="E13" s="38"/>
      <c r="F13" s="38"/>
      <c r="G13" s="38"/>
      <c r="H13" s="38"/>
      <c r="I13" s="38"/>
      <c r="J13" s="133"/>
      <c r="K13" s="38"/>
      <c r="L13" s="38"/>
      <c r="M13" s="38"/>
      <c r="N13" s="64"/>
      <c r="O13" s="38"/>
      <c r="P13" s="38"/>
      <c r="R13" s="122">
        <f>P111-R111</f>
        <v>-2.7094752586308459</v>
      </c>
      <c r="S13" s="55">
        <f t="shared" si="1"/>
        <v>-0.54458673353397558</v>
      </c>
      <c r="T13" s="55">
        <f t="shared" si="1"/>
        <v>-0.5466175458978455</v>
      </c>
      <c r="U13" s="55">
        <f t="shared" si="1"/>
        <v>-0.54865593134161372</v>
      </c>
      <c r="V13" s="55"/>
      <c r="W13" s="55">
        <f t="shared" si="2"/>
        <v>-4.3493354694042807</v>
      </c>
      <c r="X13" s="55">
        <f t="shared" si="3"/>
        <v>-2.2151600320410409</v>
      </c>
      <c r="Y13" s="55">
        <f t="shared" si="3"/>
        <v>-2.2483874325216675</v>
      </c>
      <c r="Z13" s="55">
        <f t="shared" si="3"/>
        <v>-2.2821132440095084</v>
      </c>
      <c r="AA13" s="55">
        <f t="shared" si="3"/>
        <v>-2.3163449426695877</v>
      </c>
    </row>
    <row r="14" spans="1:27" x14ac:dyDescent="0.25">
      <c r="A14" s="355" t="s">
        <v>151</v>
      </c>
      <c r="B14" s="37"/>
      <c r="C14" s="37"/>
      <c r="D14" s="38"/>
      <c r="E14" s="38"/>
      <c r="F14" s="38"/>
      <c r="G14" s="38"/>
      <c r="H14" s="38"/>
      <c r="I14" s="38"/>
      <c r="J14" s="133"/>
      <c r="K14" s="38"/>
      <c r="L14" s="38"/>
      <c r="M14" s="38"/>
      <c r="N14" s="64"/>
      <c r="O14" s="38"/>
      <c r="P14" s="38"/>
      <c r="R14" s="122">
        <f>P112-R112</f>
        <v>0</v>
      </c>
      <c r="S14" s="55">
        <f t="shared" si="1"/>
        <v>0</v>
      </c>
      <c r="T14" s="55">
        <f t="shared" si="1"/>
        <v>0</v>
      </c>
      <c r="U14" s="55">
        <f t="shared" si="1"/>
        <v>0</v>
      </c>
      <c r="V14" s="55"/>
      <c r="W14" s="55">
        <f t="shared" si="2"/>
        <v>0</v>
      </c>
      <c r="X14" s="55">
        <f t="shared" si="3"/>
        <v>0</v>
      </c>
      <c r="Y14" s="55">
        <f t="shared" si="3"/>
        <v>0</v>
      </c>
      <c r="Z14" s="55">
        <f t="shared" si="3"/>
        <v>0</v>
      </c>
      <c r="AA14" s="55">
        <f t="shared" si="3"/>
        <v>0</v>
      </c>
    </row>
    <row r="15" spans="1:27" x14ac:dyDescent="0.25">
      <c r="A15" s="354" t="str">
        <f>A113</f>
        <v>Income tax receivable</v>
      </c>
      <c r="B15" s="37"/>
      <c r="C15" s="37"/>
      <c r="D15" s="38"/>
      <c r="E15" s="38"/>
      <c r="F15" s="38"/>
      <c r="G15" s="38"/>
      <c r="H15" s="38"/>
      <c r="I15" s="38"/>
      <c r="J15" s="133"/>
      <c r="K15" s="38"/>
      <c r="L15" s="38"/>
      <c r="M15" s="38"/>
      <c r="N15" s="64"/>
      <c r="O15" s="38"/>
      <c r="P15" s="38"/>
      <c r="R15" s="122">
        <f>P113-R113</f>
        <v>0</v>
      </c>
      <c r="S15" s="55">
        <f t="shared" si="1"/>
        <v>0</v>
      </c>
      <c r="T15" s="55">
        <f t="shared" si="1"/>
        <v>0</v>
      </c>
      <c r="U15" s="55">
        <f t="shared" si="1"/>
        <v>0</v>
      </c>
      <c r="V15" s="55"/>
      <c r="W15" s="55">
        <f t="shared" si="2"/>
        <v>0</v>
      </c>
      <c r="X15" s="55">
        <f t="shared" si="3"/>
        <v>0</v>
      </c>
      <c r="Y15" s="55">
        <f t="shared" si="3"/>
        <v>0</v>
      </c>
      <c r="Z15" s="55">
        <f t="shared" si="3"/>
        <v>0</v>
      </c>
      <c r="AA15" s="55">
        <f t="shared" si="3"/>
        <v>0</v>
      </c>
    </row>
    <row r="16" spans="1:27" x14ac:dyDescent="0.25">
      <c r="A16" s="354" t="str">
        <f>A114</f>
        <v>Other current assets</v>
      </c>
      <c r="B16" s="37"/>
      <c r="C16" s="37"/>
      <c r="D16" s="38"/>
      <c r="E16" s="38"/>
      <c r="F16" s="38"/>
      <c r="G16" s="38"/>
      <c r="H16" s="38"/>
      <c r="I16" s="38"/>
      <c r="J16" s="133"/>
      <c r="K16" s="38"/>
      <c r="L16" s="38"/>
      <c r="M16" s="38"/>
      <c r="N16" s="64"/>
      <c r="O16" s="38"/>
      <c r="P16" s="38"/>
      <c r="R16" s="122">
        <f>P114-R114</f>
        <v>4.9039999999999964</v>
      </c>
      <c r="S16" s="55">
        <f t="shared" si="1"/>
        <v>0</v>
      </c>
      <c r="T16" s="55">
        <f t="shared" si="1"/>
        <v>0</v>
      </c>
      <c r="U16" s="55">
        <f t="shared" si="1"/>
        <v>0</v>
      </c>
      <c r="V16" s="55"/>
      <c r="W16" s="55">
        <f t="shared" si="2"/>
        <v>4.9039999999999964</v>
      </c>
      <c r="X16" s="55">
        <f t="shared" si="3"/>
        <v>0</v>
      </c>
      <c r="Y16" s="55">
        <f t="shared" si="3"/>
        <v>0</v>
      </c>
      <c r="Z16" s="55">
        <f t="shared" si="3"/>
        <v>0</v>
      </c>
      <c r="AA16" s="55">
        <f t="shared" si="3"/>
        <v>0</v>
      </c>
    </row>
    <row r="17" spans="1:27" x14ac:dyDescent="0.25">
      <c r="A17" s="356" t="str">
        <f>A130</f>
        <v>Accounts payable</v>
      </c>
      <c r="B17" s="37"/>
      <c r="C17" s="37"/>
      <c r="D17" s="38"/>
      <c r="E17" s="38"/>
      <c r="F17" s="38"/>
      <c r="G17" s="38"/>
      <c r="H17" s="38"/>
      <c r="I17" s="38"/>
      <c r="J17" s="133"/>
      <c r="K17" s="38"/>
      <c r="L17" s="38"/>
      <c r="M17" s="38"/>
      <c r="N17" s="64"/>
      <c r="O17" s="38"/>
      <c r="P17" s="38"/>
      <c r="R17" s="122">
        <f>R130-P130</f>
        <v>-16.319335172252337</v>
      </c>
      <c r="S17" s="55">
        <f t="shared" ref="S17:U18" si="4">S130-R130</f>
        <v>8.0271203748596847</v>
      </c>
      <c r="T17" s="55">
        <f t="shared" si="4"/>
        <v>6.6990456500386202</v>
      </c>
      <c r="U17" s="55">
        <f t="shared" si="4"/>
        <v>3.3901902622524318</v>
      </c>
      <c r="V17" s="55"/>
      <c r="W17" s="55">
        <f t="shared" si="2"/>
        <v>1.7970211148983992</v>
      </c>
      <c r="X17" s="55">
        <f t="shared" ref="X17:AA18" si="5">X130-W130</f>
        <v>2.7605401682031214</v>
      </c>
      <c r="Y17" s="55">
        <f t="shared" si="5"/>
        <v>2.2751268384930512</v>
      </c>
      <c r="Z17" s="55">
        <f t="shared" si="5"/>
        <v>2.3433806436478335</v>
      </c>
      <c r="AA17" s="55">
        <f t="shared" si="5"/>
        <v>2.4136820629572782</v>
      </c>
    </row>
    <row r="18" spans="1:27" x14ac:dyDescent="0.25">
      <c r="A18" s="356" t="str">
        <f>A131</f>
        <v>Accrued expenses</v>
      </c>
      <c r="B18" s="37"/>
      <c r="C18" s="37"/>
      <c r="D18" s="38"/>
      <c r="E18" s="38"/>
      <c r="F18" s="38"/>
      <c r="G18" s="38"/>
      <c r="H18" s="38"/>
      <c r="I18" s="38"/>
      <c r="J18" s="133"/>
      <c r="K18" s="38"/>
      <c r="L18" s="38"/>
      <c r="M18" s="38"/>
      <c r="N18" s="38"/>
      <c r="O18" s="38"/>
      <c r="P18" s="38"/>
      <c r="R18" s="268">
        <f>R131-P131</f>
        <v>3.5042527077403633</v>
      </c>
      <c r="S18" s="62">
        <f t="shared" si="4"/>
        <v>-3.263037599902276</v>
      </c>
      <c r="T18" s="62">
        <f t="shared" si="4"/>
        <v>5.7768045019986687</v>
      </c>
      <c r="U18" s="62">
        <f t="shared" si="4"/>
        <v>-4.2523261499647163</v>
      </c>
      <c r="V18" s="55"/>
      <c r="W18" s="62">
        <f t="shared" si="2"/>
        <v>1.7656934598720397</v>
      </c>
      <c r="X18" s="62">
        <f t="shared" si="5"/>
        <v>2.1839578417288124</v>
      </c>
      <c r="Y18" s="62">
        <f t="shared" si="5"/>
        <v>2.514505864167603</v>
      </c>
      <c r="Z18" s="62">
        <f t="shared" si="5"/>
        <v>2.5899410400926399</v>
      </c>
      <c r="AA18" s="62">
        <f t="shared" si="5"/>
        <v>2.6676392712953998</v>
      </c>
    </row>
    <row r="19" spans="1:27" s="33" customFormat="1" x14ac:dyDescent="0.25">
      <c r="A19" s="112" t="s">
        <v>325</v>
      </c>
      <c r="B19" s="124"/>
      <c r="C19" s="124"/>
      <c r="D19" s="125"/>
      <c r="E19" s="125"/>
      <c r="F19" s="125"/>
      <c r="G19" s="125"/>
      <c r="H19" s="125"/>
      <c r="I19" s="125"/>
      <c r="J19" s="134"/>
      <c r="K19" s="125"/>
      <c r="L19" s="125"/>
      <c r="M19" s="125"/>
      <c r="N19" s="125"/>
      <c r="O19" s="125"/>
      <c r="P19" s="125"/>
      <c r="R19" s="312">
        <f>SUM(R7:R18)</f>
        <v>13.122703359364916</v>
      </c>
      <c r="S19" s="63">
        <f>SUM(S7:S18)</f>
        <v>30.677420704607783</v>
      </c>
      <c r="T19" s="63">
        <f>SUM(T7:T18)</f>
        <v>37.036161114046685</v>
      </c>
      <c r="U19" s="63">
        <f>SUM(U7:U18)</f>
        <v>23.107180789828391</v>
      </c>
      <c r="V19" s="63"/>
      <c r="W19" s="63">
        <f>SUM(W7:W18)</f>
        <v>103.94346596784777</v>
      </c>
      <c r="X19" s="63">
        <f>SUM(X7:X18)</f>
        <v>119.15946373654123</v>
      </c>
      <c r="Y19" s="63">
        <f>SUM(Y7:Y18)</f>
        <v>133.94193670109686</v>
      </c>
      <c r="Z19" s="63">
        <f>SUM(Z7:Z18)</f>
        <v>149.75645362624468</v>
      </c>
      <c r="AA19" s="63">
        <f>SUM(AA7:AA18)</f>
        <v>166.04591194631911</v>
      </c>
    </row>
    <row r="20" spans="1:27" x14ac:dyDescent="0.25">
      <c r="A20" s="82"/>
      <c r="B20" s="37"/>
      <c r="C20" s="37"/>
      <c r="D20" s="38"/>
      <c r="E20" s="38"/>
      <c r="F20" s="38"/>
      <c r="G20" s="38"/>
      <c r="H20" s="38"/>
      <c r="I20" s="38"/>
      <c r="J20" s="133"/>
      <c r="K20" s="38"/>
      <c r="L20" s="38"/>
      <c r="M20" s="38"/>
      <c r="N20" s="38"/>
      <c r="O20" s="38"/>
      <c r="P20" s="38"/>
      <c r="R20" s="122"/>
      <c r="S20" s="55"/>
      <c r="T20" s="55"/>
      <c r="U20" s="55"/>
      <c r="V20" s="55"/>
      <c r="W20" s="55"/>
      <c r="X20" s="55"/>
      <c r="Y20" s="55"/>
      <c r="Z20" s="55"/>
      <c r="AA20" s="55"/>
    </row>
    <row r="21" spans="1:27" x14ac:dyDescent="0.25">
      <c r="A21" s="357" t="s">
        <v>247</v>
      </c>
      <c r="B21" s="37"/>
      <c r="C21" s="37"/>
      <c r="D21" s="38"/>
      <c r="E21" s="38"/>
      <c r="F21" s="38"/>
      <c r="G21" s="38"/>
      <c r="H21" s="38"/>
      <c r="I21" s="38"/>
      <c r="J21" s="133"/>
      <c r="K21" s="38"/>
      <c r="L21" s="38"/>
      <c r="M21" s="38"/>
      <c r="N21" s="38"/>
      <c r="O21" s="38"/>
      <c r="P21" s="38"/>
      <c r="R21" s="122">
        <f>-R347</f>
        <v>-13.641722661073361</v>
      </c>
      <c r="S21" s="55">
        <f t="shared" ref="S21:AA21" si="6">-S347</f>
        <v>-13.599331608956696</v>
      </c>
      <c r="T21" s="55">
        <f t="shared" si="6"/>
        <v>-13.650044726025113</v>
      </c>
      <c r="U21" s="55">
        <f t="shared" si="6"/>
        <v>-13.700946956817409</v>
      </c>
      <c r="V21" s="55"/>
      <c r="W21" s="55">
        <f t="shared" si="6"/>
        <v>-54.592045952872581</v>
      </c>
      <c r="X21" s="55">
        <f t="shared" si="6"/>
        <v>-55.316617147731677</v>
      </c>
      <c r="Y21" s="55">
        <f t="shared" si="6"/>
        <v>-56.146366404947649</v>
      </c>
      <c r="Z21" s="55">
        <f t="shared" si="6"/>
        <v>-56.98856190102186</v>
      </c>
      <c r="AA21" s="55">
        <f t="shared" si="6"/>
        <v>-57.843390329537186</v>
      </c>
    </row>
    <row r="22" spans="1:27" x14ac:dyDescent="0.25">
      <c r="A22" s="357" t="s">
        <v>327</v>
      </c>
      <c r="B22" s="37"/>
      <c r="C22" s="37"/>
      <c r="D22" s="38"/>
      <c r="E22" s="38"/>
      <c r="F22" s="38"/>
      <c r="G22" s="38"/>
      <c r="H22" s="38"/>
      <c r="I22" s="38"/>
      <c r="J22" s="133"/>
      <c r="K22" s="340"/>
      <c r="L22" s="38"/>
      <c r="M22" s="38"/>
      <c r="N22" s="38"/>
      <c r="O22" s="38"/>
      <c r="P22" s="38"/>
      <c r="R22" s="268">
        <f>P122-R122</f>
        <v>0</v>
      </c>
      <c r="S22" s="62">
        <f>R122-S122</f>
        <v>0</v>
      </c>
      <c r="T22" s="62">
        <f>S122-T122</f>
        <v>0</v>
      </c>
      <c r="U22" s="62">
        <f>T122-U122</f>
        <v>0</v>
      </c>
      <c r="V22" s="55"/>
      <c r="W22" s="62">
        <f>SUM(R22:U22)</f>
        <v>0</v>
      </c>
      <c r="X22" s="62">
        <f>W122-X122</f>
        <v>0</v>
      </c>
      <c r="Y22" s="62">
        <f>X122-Y122</f>
        <v>0</v>
      </c>
      <c r="Z22" s="62">
        <f>Y122-Z122</f>
        <v>0</v>
      </c>
      <c r="AA22" s="62">
        <f>Z122-AA122</f>
        <v>0</v>
      </c>
    </row>
    <row r="23" spans="1:27" s="33" customFormat="1" x14ac:dyDescent="0.25">
      <c r="A23" s="112" t="s">
        <v>328</v>
      </c>
      <c r="B23" s="124"/>
      <c r="C23" s="124"/>
      <c r="D23" s="200"/>
      <c r="E23" s="125"/>
      <c r="F23" s="125"/>
      <c r="G23" s="125"/>
      <c r="H23" s="125"/>
      <c r="I23" s="125"/>
      <c r="J23" s="134"/>
      <c r="K23" s="125"/>
      <c r="L23" s="125"/>
      <c r="M23" s="125"/>
      <c r="N23" s="125"/>
      <c r="O23" s="125"/>
      <c r="P23" s="125"/>
      <c r="R23" s="312">
        <f>SUM(R21:R22)</f>
        <v>-13.641722661073361</v>
      </c>
      <c r="S23" s="63">
        <f>SUM(S21:S22)</f>
        <v>-13.599331608956696</v>
      </c>
      <c r="T23" s="63">
        <f>SUM(T21:T22)</f>
        <v>-13.650044726025113</v>
      </c>
      <c r="U23" s="63">
        <f>SUM(U21:U22)</f>
        <v>-13.700946956817409</v>
      </c>
      <c r="V23" s="63"/>
      <c r="W23" s="63">
        <f>SUM(W21:W22)</f>
        <v>-54.592045952872581</v>
      </c>
      <c r="X23" s="63">
        <f>SUM(X21:X22)</f>
        <v>-55.316617147731677</v>
      </c>
      <c r="Y23" s="63">
        <f>SUM(Y21:Y22)</f>
        <v>-56.146366404947649</v>
      </c>
      <c r="Z23" s="63">
        <f>SUM(Z21:Z22)</f>
        <v>-56.98856190102186</v>
      </c>
      <c r="AA23" s="63">
        <f>SUM(AA21:AA22)</f>
        <v>-57.843390329537186</v>
      </c>
    </row>
    <row r="24" spans="1:27" x14ac:dyDescent="0.25">
      <c r="A24" s="82"/>
      <c r="B24" s="37"/>
      <c r="C24" s="37"/>
      <c r="D24" s="38"/>
      <c r="E24" s="38"/>
      <c r="F24" s="38"/>
      <c r="G24" s="38"/>
      <c r="H24" s="38"/>
      <c r="I24" s="38"/>
      <c r="J24" s="133"/>
      <c r="K24" s="38"/>
      <c r="L24" s="38"/>
      <c r="M24" s="38"/>
      <c r="N24" s="38"/>
      <c r="O24" s="38"/>
      <c r="P24" s="38"/>
      <c r="R24" s="122"/>
      <c r="S24" s="55"/>
      <c r="T24" s="55"/>
      <c r="U24" s="55"/>
      <c r="V24" s="55"/>
      <c r="W24" s="55"/>
      <c r="X24" s="55"/>
      <c r="Y24" s="55"/>
      <c r="Z24" s="55"/>
      <c r="AA24" s="55"/>
    </row>
    <row r="25" spans="1:27" s="44" customFormat="1" x14ac:dyDescent="0.25">
      <c r="A25" s="358" t="s">
        <v>329</v>
      </c>
      <c r="B25" s="49"/>
      <c r="C25" s="49"/>
      <c r="J25" s="113"/>
      <c r="R25" s="122">
        <f>(R129-P129)+(R135-P135)</f>
        <v>0</v>
      </c>
      <c r="S25" s="55">
        <f>(S129-R129)+(S135-R135)</f>
        <v>-1.4E-2</v>
      </c>
      <c r="T25" s="55">
        <f>(T129-S129)+(T135-S135)</f>
        <v>0</v>
      </c>
      <c r="U25" s="55">
        <f>(U129-T129)+(U135-T135)</f>
        <v>0</v>
      </c>
      <c r="V25" s="55"/>
      <c r="W25" s="55">
        <f>SUM(R25:U25)</f>
        <v>-1.4E-2</v>
      </c>
      <c r="X25" s="55">
        <f>(X129-W129)+(X135-W135)</f>
        <v>0</v>
      </c>
      <c r="Y25" s="55">
        <f>(Y129-X129)+(Y135-X135)</f>
        <v>0</v>
      </c>
      <c r="Z25" s="55">
        <f>(Z129-Y129)+(Z135-Y135)</f>
        <v>0</v>
      </c>
      <c r="AA25" s="55">
        <f>(AA129-Z129)+(AA135-Z135)</f>
        <v>0</v>
      </c>
    </row>
    <row r="26" spans="1:27" s="44" customFormat="1" x14ac:dyDescent="0.25">
      <c r="A26" s="358" t="s">
        <v>330</v>
      </c>
      <c r="B26" s="49"/>
      <c r="C26" s="49"/>
      <c r="J26" s="113"/>
      <c r="R26" s="268">
        <f>R136-P136</f>
        <v>0</v>
      </c>
      <c r="S26" s="62">
        <f>S136-R136</f>
        <v>0</v>
      </c>
      <c r="T26" s="62">
        <f>T136-S136</f>
        <v>0</v>
      </c>
      <c r="U26" s="62">
        <f>U136-T136</f>
        <v>0</v>
      </c>
      <c r="V26" s="55"/>
      <c r="W26" s="62">
        <f>SUM(R26:U26)</f>
        <v>0</v>
      </c>
      <c r="X26" s="62">
        <f>W26</f>
        <v>0</v>
      </c>
      <c r="Y26" s="62">
        <f>X26</f>
        <v>0</v>
      </c>
      <c r="Z26" s="62">
        <f>Y26</f>
        <v>0</v>
      </c>
      <c r="AA26" s="62">
        <f>Z26</f>
        <v>0</v>
      </c>
    </row>
    <row r="27" spans="1:27" s="44" customFormat="1" x14ac:dyDescent="0.25">
      <c r="A27" s="118" t="s">
        <v>331</v>
      </c>
      <c r="B27" s="49"/>
      <c r="C27" s="49"/>
      <c r="J27" s="113"/>
      <c r="R27" s="312">
        <f>SUM(R25:R26)</f>
        <v>0</v>
      </c>
      <c r="S27" s="63">
        <f>SUM(S25:S26)</f>
        <v>-1.4E-2</v>
      </c>
      <c r="T27" s="63">
        <f>SUM(T25:T26)</f>
        <v>0</v>
      </c>
      <c r="U27" s="63">
        <f>SUM(U25:U26)</f>
        <v>0</v>
      </c>
      <c r="V27" s="55"/>
      <c r="W27" s="63">
        <f>SUM(W25:W26)</f>
        <v>-1.4E-2</v>
      </c>
      <c r="X27" s="63">
        <f>SUM(X25:X26)</f>
        <v>0</v>
      </c>
      <c r="Y27" s="63">
        <f>SUM(Y25:Y26)</f>
        <v>0</v>
      </c>
      <c r="Z27" s="63">
        <f>SUM(Z25:Z26)</f>
        <v>0</v>
      </c>
      <c r="AA27" s="63">
        <f>SUM(AA25:AA26)</f>
        <v>0</v>
      </c>
    </row>
    <row r="28" spans="1:27" x14ac:dyDescent="0.25">
      <c r="A28" s="82"/>
      <c r="B28" s="37"/>
      <c r="C28" s="37"/>
      <c r="D28" s="38"/>
      <c r="E28" s="38"/>
      <c r="F28" s="38"/>
      <c r="G28" s="38"/>
      <c r="H28" s="38"/>
      <c r="I28" s="38"/>
      <c r="J28" s="133"/>
      <c r="K28" s="38"/>
      <c r="L28" s="38"/>
      <c r="M28" s="341"/>
      <c r="N28" s="341"/>
      <c r="O28" s="341"/>
      <c r="P28" s="341"/>
      <c r="R28" s="122"/>
      <c r="S28" s="55"/>
      <c r="T28" s="55"/>
      <c r="U28" s="55"/>
      <c r="V28" s="55"/>
      <c r="W28" s="55"/>
      <c r="X28" s="55"/>
      <c r="Y28" s="55"/>
      <c r="Z28" s="55"/>
      <c r="AA28" s="55"/>
    </row>
    <row r="29" spans="1:27" s="33" customFormat="1" x14ac:dyDescent="0.25">
      <c r="A29" s="112" t="s">
        <v>332</v>
      </c>
      <c r="B29" s="124"/>
      <c r="C29" s="124"/>
      <c r="D29" s="125"/>
      <c r="E29" s="125"/>
      <c r="F29" s="125"/>
      <c r="G29" s="125"/>
      <c r="H29" s="125"/>
      <c r="I29" s="125"/>
      <c r="J29" s="134"/>
      <c r="K29" s="125"/>
      <c r="L29" s="125"/>
      <c r="M29" s="125"/>
      <c r="N29" s="125"/>
      <c r="O29" s="125"/>
      <c r="P29" s="125"/>
      <c r="R29" s="63">
        <f>P109</f>
        <v>186.25700000000001</v>
      </c>
      <c r="S29" s="63">
        <f>R33</f>
        <v>172.03798069829156</v>
      </c>
      <c r="T29" s="63">
        <f>S31</f>
        <v>189.10206979394266</v>
      </c>
      <c r="U29" s="63">
        <f>T31</f>
        <v>212.48818618196424</v>
      </c>
      <c r="V29" s="63"/>
      <c r="W29" s="63">
        <f>R29</f>
        <v>186.25700000000001</v>
      </c>
      <c r="X29" s="63">
        <f>W33</f>
        <v>221.8944200149752</v>
      </c>
      <c r="Y29" s="63">
        <f>X31</f>
        <v>285.73726660378475</v>
      </c>
      <c r="Z29" s="63">
        <f>Y31</f>
        <v>363.53283689993395</v>
      </c>
      <c r="AA29" s="63">
        <f>Z31</f>
        <v>456.30072862515681</v>
      </c>
    </row>
    <row r="30" spans="1:27" x14ac:dyDescent="0.25">
      <c r="A30" s="357" t="s">
        <v>333</v>
      </c>
      <c r="B30" s="37"/>
      <c r="C30" s="37"/>
      <c r="D30" s="38"/>
      <c r="E30" s="38"/>
      <c r="F30" s="38"/>
      <c r="G30" s="38"/>
      <c r="H30" s="38"/>
      <c r="I30" s="38"/>
      <c r="J30" s="133"/>
      <c r="K30" s="38"/>
      <c r="L30" s="38"/>
      <c r="M30" s="29"/>
      <c r="N30" s="29"/>
      <c r="O30" s="29"/>
      <c r="P30" s="29"/>
      <c r="R30" s="62">
        <f>SUM(R19,R23,R27)</f>
        <v>-0.51901930170844501</v>
      </c>
      <c r="S30" s="62">
        <f>SUM(S19,S23,S27)</f>
        <v>17.064089095651088</v>
      </c>
      <c r="T30" s="62">
        <f>SUM(T19,T23,T27)</f>
        <v>23.38611638802157</v>
      </c>
      <c r="U30" s="62">
        <f>SUM(U19,U23,U27)</f>
        <v>9.4062338330109814</v>
      </c>
      <c r="V30" s="55"/>
      <c r="W30" s="62">
        <f>SUM(W19,W23,W27)</f>
        <v>49.337420014975187</v>
      </c>
      <c r="X30" s="62">
        <f>SUM(X19,X23,X27)</f>
        <v>63.84284658880955</v>
      </c>
      <c r="Y30" s="62">
        <f>SUM(Y19,Y23,Y27)</f>
        <v>77.795570296149208</v>
      </c>
      <c r="Z30" s="62">
        <f>SUM(Z19,Z23,Z27)</f>
        <v>92.767891725222825</v>
      </c>
      <c r="AA30" s="62">
        <f>SUM(AA19,AA23,AA27)</f>
        <v>108.20252161678192</v>
      </c>
    </row>
    <row r="31" spans="1:27" s="33" customFormat="1" x14ac:dyDescent="0.25">
      <c r="A31" s="112" t="s">
        <v>334</v>
      </c>
      <c r="B31" s="124"/>
      <c r="C31" s="124"/>
      <c r="D31" s="125"/>
      <c r="E31" s="125"/>
      <c r="F31" s="125"/>
      <c r="G31" s="125"/>
      <c r="H31" s="125"/>
      <c r="I31" s="125"/>
      <c r="J31" s="134"/>
      <c r="K31" s="125"/>
      <c r="L31" s="125"/>
      <c r="M31" s="125"/>
      <c r="N31" s="125"/>
      <c r="O31" s="125"/>
      <c r="P31" s="125"/>
      <c r="R31" s="63">
        <f>SUM(R29:R30)</f>
        <v>185.73798069829155</v>
      </c>
      <c r="S31" s="63">
        <f>SUM(S29:S30)</f>
        <v>189.10206979394266</v>
      </c>
      <c r="T31" s="63">
        <f>SUM(T29:T30)</f>
        <v>212.48818618196424</v>
      </c>
      <c r="U31" s="63">
        <f>SUM(U29:U30)</f>
        <v>221.89442001497522</v>
      </c>
      <c r="V31" s="63"/>
      <c r="W31" s="63">
        <f>SUM(W29:W30)</f>
        <v>235.59442001497519</v>
      </c>
      <c r="X31" s="63">
        <f>SUM(X29:X30)</f>
        <v>285.73726660378475</v>
      </c>
      <c r="Y31" s="63">
        <f>SUM(Y29:Y30)</f>
        <v>363.53283689993395</v>
      </c>
      <c r="Z31" s="63">
        <f>SUM(Z29:Z30)</f>
        <v>456.30072862515681</v>
      </c>
      <c r="AA31" s="63">
        <f>SUM(AA29:AA30)</f>
        <v>564.50325024193876</v>
      </c>
    </row>
    <row r="32" spans="1:27" s="33" customFormat="1" x14ac:dyDescent="0.25">
      <c r="A32" s="602" t="s">
        <v>8850</v>
      </c>
      <c r="B32" s="124"/>
      <c r="C32" s="124"/>
      <c r="D32" s="125"/>
      <c r="E32" s="125"/>
      <c r="F32" s="125"/>
      <c r="G32" s="125"/>
      <c r="H32" s="125"/>
      <c r="I32" s="125"/>
      <c r="J32" s="134"/>
      <c r="K32" s="125"/>
      <c r="L32" s="125"/>
      <c r="M32" s="125"/>
      <c r="N32" s="125"/>
      <c r="O32" s="125"/>
      <c r="P32" s="125"/>
      <c r="R32" s="604">
        <f>-13.7</f>
        <v>-13.7</v>
      </c>
      <c r="S32" s="63"/>
      <c r="T32" s="63"/>
      <c r="U32" s="63"/>
      <c r="V32" s="63"/>
      <c r="W32" s="603">
        <f>R32</f>
        <v>-13.7</v>
      </c>
      <c r="X32" s="63"/>
      <c r="Y32" s="63"/>
      <c r="Z32" s="63"/>
      <c r="AA32" s="63"/>
    </row>
    <row r="33" spans="1:27" s="33" customFormat="1" x14ac:dyDescent="0.25">
      <c r="A33" s="112" t="s">
        <v>334</v>
      </c>
      <c r="B33" s="124"/>
      <c r="C33" s="124"/>
      <c r="D33" s="125"/>
      <c r="E33" s="125"/>
      <c r="F33" s="125"/>
      <c r="G33" s="125"/>
      <c r="H33" s="125"/>
      <c r="I33" s="125"/>
      <c r="J33" s="134"/>
      <c r="K33" s="125"/>
      <c r="L33" s="125"/>
      <c r="M33" s="125"/>
      <c r="N33" s="125"/>
      <c r="O33" s="125"/>
      <c r="P33" s="125"/>
      <c r="R33" s="63">
        <f>SUM(R31:R32)</f>
        <v>172.03798069829156</v>
      </c>
      <c r="S33" s="63"/>
      <c r="T33" s="63"/>
      <c r="U33" s="63"/>
      <c r="V33" s="63"/>
      <c r="W33" s="63">
        <f>SUM(W31:W32)</f>
        <v>221.8944200149752</v>
      </c>
      <c r="X33" s="63"/>
      <c r="Y33" s="63"/>
      <c r="Z33" s="63"/>
      <c r="AA33" s="63"/>
    </row>
    <row r="34" spans="1:27" s="33" customFormat="1" x14ac:dyDescent="0.25">
      <c r="A34" s="112"/>
      <c r="B34" s="124"/>
      <c r="C34" s="124"/>
      <c r="D34" s="125"/>
      <c r="E34" s="125"/>
      <c r="F34" s="125"/>
      <c r="G34" s="125"/>
      <c r="H34" s="125"/>
      <c r="I34" s="125"/>
      <c r="J34" s="134"/>
      <c r="K34" s="125"/>
      <c r="L34" s="125"/>
      <c r="M34" s="125"/>
      <c r="N34" s="125"/>
      <c r="O34" s="125"/>
      <c r="P34" s="125"/>
      <c r="R34" s="63"/>
      <c r="S34" s="63"/>
      <c r="T34" s="63"/>
      <c r="U34" s="63"/>
      <c r="V34" s="63"/>
      <c r="W34" s="63"/>
      <c r="X34" s="63"/>
      <c r="Y34" s="63"/>
      <c r="Z34" s="63"/>
      <c r="AA34" s="63"/>
    </row>
    <row r="35" spans="1:27" x14ac:dyDescent="0.25">
      <c r="A35" s="39" t="s">
        <v>8762</v>
      </c>
      <c r="B35" s="40"/>
      <c r="C35" s="40"/>
      <c r="D35" s="40"/>
      <c r="E35" s="40"/>
      <c r="F35" s="40"/>
      <c r="G35" s="40"/>
      <c r="H35" s="40"/>
      <c r="I35" s="40"/>
      <c r="J35" s="40"/>
      <c r="K35" s="40"/>
      <c r="L35" s="40"/>
      <c r="M35" s="40"/>
      <c r="N35" s="40"/>
      <c r="O35" s="40"/>
      <c r="P35" s="40"/>
      <c r="Q35" s="41"/>
      <c r="R35" s="41"/>
      <c r="S35" s="41"/>
      <c r="T35" s="41"/>
      <c r="U35" s="41"/>
      <c r="V35" s="41"/>
      <c r="W35" s="41"/>
      <c r="X35" s="41"/>
      <c r="Y35" s="41"/>
      <c r="Z35" s="41"/>
      <c r="AA35" s="42"/>
    </row>
    <row r="36" spans="1:27" s="33" customFormat="1" x14ac:dyDescent="0.25">
      <c r="A36" s="112"/>
      <c r="B36" s="124"/>
      <c r="C36" s="124"/>
      <c r="D36" s="125"/>
      <c r="E36" s="125"/>
      <c r="F36" s="125"/>
      <c r="G36" s="125"/>
      <c r="H36" s="125"/>
      <c r="I36" s="125"/>
      <c r="J36" s="134"/>
      <c r="K36" s="125"/>
      <c r="L36" s="125"/>
      <c r="M36" s="125"/>
      <c r="N36" s="125"/>
      <c r="O36" s="125"/>
      <c r="P36" s="125"/>
      <c r="R36" s="63"/>
      <c r="S36" s="63"/>
      <c r="T36" s="63"/>
      <c r="U36" s="63"/>
      <c r="V36" s="63"/>
      <c r="W36" s="63"/>
      <c r="X36" s="63"/>
      <c r="Y36" s="63"/>
      <c r="Z36" s="63"/>
      <c r="AA36" s="63"/>
    </row>
    <row r="37" spans="1:27" s="33" customFormat="1" x14ac:dyDescent="0.25">
      <c r="A37" s="112" t="s">
        <v>8766</v>
      </c>
      <c r="B37" s="124"/>
      <c r="C37" s="124"/>
      <c r="D37" s="125"/>
      <c r="E37" s="125"/>
      <c r="F37" s="125"/>
      <c r="G37" s="125"/>
      <c r="H37" s="125"/>
      <c r="I37" s="125"/>
      <c r="J37" s="134"/>
      <c r="K37" s="125"/>
      <c r="L37" s="125"/>
      <c r="M37" s="125"/>
      <c r="N37" s="125"/>
      <c r="O37" s="125"/>
      <c r="P37" s="125"/>
      <c r="R37" s="63">
        <f>R30</f>
        <v>-0.51901930170844501</v>
      </c>
      <c r="S37" s="63">
        <f>S30</f>
        <v>17.064089095651088</v>
      </c>
      <c r="T37" s="63">
        <f>T30</f>
        <v>23.38611638802157</v>
      </c>
      <c r="U37" s="63">
        <f>U30</f>
        <v>9.4062338330109814</v>
      </c>
      <c r="V37" s="63"/>
      <c r="W37" s="63"/>
      <c r="X37" s="63">
        <f>X30</f>
        <v>63.84284658880955</v>
      </c>
      <c r="Y37" s="63">
        <f>Y30</f>
        <v>77.795570296149208</v>
      </c>
      <c r="Z37" s="63">
        <f>Z30</f>
        <v>92.767891725222825</v>
      </c>
      <c r="AA37" s="63">
        <f>AA30</f>
        <v>108.20252161678192</v>
      </c>
    </row>
    <row r="38" spans="1:27" s="33" customFormat="1" x14ac:dyDescent="0.25">
      <c r="A38" s="538" t="s">
        <v>8768</v>
      </c>
      <c r="B38" s="124"/>
      <c r="C38" s="124"/>
      <c r="D38" s="125"/>
      <c r="E38" s="125"/>
      <c r="F38" s="125"/>
      <c r="G38" s="125"/>
      <c r="H38" s="125"/>
      <c r="I38" s="125"/>
      <c r="J38" s="134"/>
      <c r="K38" s="125"/>
      <c r="L38" s="125"/>
      <c r="M38" s="125"/>
      <c r="N38" s="125"/>
      <c r="O38" s="125"/>
      <c r="P38" s="125"/>
      <c r="R38" s="63"/>
      <c r="S38" s="63"/>
      <c r="T38" s="63"/>
      <c r="U38" s="63"/>
      <c r="V38" s="63"/>
      <c r="W38" s="63"/>
      <c r="X38" s="63"/>
      <c r="Y38" s="63"/>
      <c r="Z38" s="63"/>
      <c r="AA38" s="96">
        <f>1/R41</f>
        <v>12.5</v>
      </c>
    </row>
    <row r="39" spans="1:27" s="33" customFormat="1" x14ac:dyDescent="0.25">
      <c r="A39" s="112" t="s">
        <v>8769</v>
      </c>
      <c r="B39" s="124"/>
      <c r="C39" s="124"/>
      <c r="D39" s="125"/>
      <c r="E39" s="125"/>
      <c r="F39" s="125"/>
      <c r="G39" s="125"/>
      <c r="H39" s="125"/>
      <c r="I39" s="125"/>
      <c r="J39" s="134"/>
      <c r="K39" s="125"/>
      <c r="L39" s="125"/>
      <c r="M39" s="125"/>
      <c r="N39" s="125"/>
      <c r="O39" s="125"/>
      <c r="P39" s="125"/>
      <c r="R39" s="63"/>
      <c r="S39" s="63"/>
      <c r="T39" s="63"/>
      <c r="U39" s="63"/>
      <c r="V39" s="63"/>
      <c r="W39" s="63"/>
      <c r="X39" s="63"/>
      <c r="Y39" s="63"/>
      <c r="Z39" s="63"/>
      <c r="AA39" s="63">
        <f>AA37*AA38</f>
        <v>1352.531520209774</v>
      </c>
    </row>
    <row r="40" spans="1:27" s="33" customFormat="1" x14ac:dyDescent="0.25">
      <c r="A40" s="112"/>
      <c r="B40" s="124"/>
      <c r="C40" s="124"/>
      <c r="D40" s="125"/>
      <c r="E40" s="125"/>
      <c r="F40" s="125"/>
      <c r="G40" s="125"/>
      <c r="H40" s="125"/>
      <c r="I40" s="125"/>
      <c r="J40" s="134"/>
      <c r="K40" s="125"/>
      <c r="L40" s="125"/>
      <c r="M40" s="125"/>
      <c r="N40" s="125"/>
      <c r="O40" s="125"/>
      <c r="P40" s="125"/>
      <c r="R40" s="63"/>
      <c r="S40" s="63"/>
      <c r="T40" s="63"/>
      <c r="U40" s="63"/>
      <c r="V40" s="63"/>
      <c r="W40" s="63"/>
      <c r="X40" s="63"/>
      <c r="Y40" s="63"/>
      <c r="Z40" s="63"/>
      <c r="AA40" s="63"/>
    </row>
    <row r="41" spans="1:27" s="33" customFormat="1" x14ac:dyDescent="0.25">
      <c r="A41" s="538" t="s">
        <v>8765</v>
      </c>
      <c r="B41" s="124"/>
      <c r="C41" s="124"/>
      <c r="D41" s="125"/>
      <c r="E41" s="125"/>
      <c r="F41" s="125"/>
      <c r="G41" s="125"/>
      <c r="H41" s="125"/>
      <c r="I41" s="125"/>
      <c r="J41" s="134"/>
      <c r="K41" s="125"/>
      <c r="L41" s="125"/>
      <c r="M41" s="125"/>
      <c r="N41" s="125"/>
      <c r="O41" s="125"/>
      <c r="P41" s="125"/>
      <c r="R41" s="77">
        <v>0.08</v>
      </c>
      <c r="S41" s="539">
        <f>R41</f>
        <v>0.08</v>
      </c>
      <c r="T41" s="539">
        <f t="shared" ref="T41:U41" si="7">S41</f>
        <v>0.08</v>
      </c>
      <c r="U41" s="539">
        <f t="shared" si="7"/>
        <v>0.08</v>
      </c>
      <c r="V41" s="63"/>
      <c r="W41" s="145"/>
      <c r="X41" s="145">
        <f>$R$41</f>
        <v>0.08</v>
      </c>
      <c r="Y41" s="145">
        <f>$R$41</f>
        <v>0.08</v>
      </c>
      <c r="Z41" s="145">
        <f>$R$41</f>
        <v>0.08</v>
      </c>
      <c r="AA41" s="145">
        <f>$R$41</f>
        <v>0.08</v>
      </c>
    </row>
    <row r="42" spans="1:27" s="33" customFormat="1" x14ac:dyDescent="0.25">
      <c r="A42" s="536" t="s">
        <v>8764</v>
      </c>
      <c r="B42" s="37"/>
      <c r="C42" s="37"/>
      <c r="D42" s="38"/>
      <c r="E42" s="38"/>
      <c r="F42" s="38"/>
      <c r="G42" s="38"/>
      <c r="H42" s="38"/>
      <c r="I42" s="38"/>
      <c r="J42" s="133"/>
      <c r="K42" s="38"/>
      <c r="L42" s="38"/>
      <c r="M42" s="38"/>
      <c r="N42" s="38"/>
      <c r="O42" s="38"/>
      <c r="P42" s="38"/>
      <c r="Q42" s="31"/>
      <c r="R42" s="88">
        <v>0.25</v>
      </c>
      <c r="S42" s="537">
        <f>R42+(0.25)</f>
        <v>0.5</v>
      </c>
      <c r="T42" s="537">
        <f t="shared" ref="T42:U42" si="8">S42+(0.25)</f>
        <v>0.75</v>
      </c>
      <c r="U42" s="537">
        <f t="shared" si="8"/>
        <v>1</v>
      </c>
      <c r="V42" s="31"/>
      <c r="W42" s="537"/>
      <c r="X42" s="537">
        <f>U42+1</f>
        <v>2</v>
      </c>
      <c r="Y42" s="537">
        <f>X42+1</f>
        <v>3</v>
      </c>
      <c r="Z42" s="537">
        <f t="shared" ref="Z42:AA42" si="9">Y42+1</f>
        <v>4</v>
      </c>
      <c r="AA42" s="537">
        <f t="shared" si="9"/>
        <v>5</v>
      </c>
    </row>
    <row r="43" spans="1:27" s="33" customFormat="1" x14ac:dyDescent="0.25">
      <c r="A43" s="112"/>
      <c r="B43" s="124"/>
      <c r="C43" s="124"/>
      <c r="D43" s="125"/>
      <c r="E43" s="125"/>
      <c r="F43" s="125"/>
      <c r="G43" s="125"/>
      <c r="H43" s="125"/>
      <c r="I43" s="125"/>
      <c r="J43" s="134"/>
      <c r="K43" s="125"/>
      <c r="L43" s="125"/>
      <c r="M43" s="125"/>
      <c r="N43" s="125"/>
      <c r="O43" s="125"/>
      <c r="P43" s="125"/>
      <c r="R43" s="63"/>
      <c r="S43" s="63"/>
      <c r="T43" s="63"/>
      <c r="U43" s="63"/>
      <c r="V43" s="63"/>
      <c r="W43" s="63"/>
      <c r="X43" s="63"/>
      <c r="Y43" s="63"/>
      <c r="Z43" s="63"/>
      <c r="AA43" s="63"/>
    </row>
    <row r="44" spans="1:27" s="33" customFormat="1" x14ac:dyDescent="0.25">
      <c r="A44" s="112" t="s">
        <v>8767</v>
      </c>
      <c r="B44" s="124"/>
      <c r="C44" s="124"/>
      <c r="D44" s="125"/>
      <c r="E44" s="125"/>
      <c r="F44" s="125"/>
      <c r="G44" s="125"/>
      <c r="H44" s="125"/>
      <c r="I44" s="125"/>
      <c r="J44" s="134"/>
      <c r="K44" s="125"/>
      <c r="L44" s="125"/>
      <c r="M44" s="125"/>
      <c r="N44" s="125"/>
      <c r="O44" s="125"/>
      <c r="P44" s="125"/>
      <c r="R44" s="63">
        <f>R37/(1+R41)^R42</f>
        <v>-0.50912868934258348</v>
      </c>
      <c r="S44" s="63">
        <f>S37/(1+S41)^S42</f>
        <v>16.419927388083188</v>
      </c>
      <c r="T44" s="63">
        <f>T37/(1+T41)^T42</f>
        <v>22.074470254662792</v>
      </c>
      <c r="U44" s="63">
        <f>U37/(1+U41)^U42</f>
        <v>8.7094757713064634</v>
      </c>
      <c r="V44" s="63"/>
      <c r="W44" s="63"/>
      <c r="X44" s="63">
        <f>X37/(1+X41)^X42</f>
        <v>54.7349507791577</v>
      </c>
      <c r="Y44" s="63">
        <f>Y37/(1+Y41)^Y42</f>
        <v>61.756631909634265</v>
      </c>
      <c r="Z44" s="63">
        <f>Z37/(1+Z41)^Z42</f>
        <v>68.187169799027842</v>
      </c>
      <c r="AA44" s="63">
        <f>AA37/(1+AA41)^AA42</f>
        <v>73.640818089063217</v>
      </c>
    </row>
    <row r="45" spans="1:27" s="33" customFormat="1" x14ac:dyDescent="0.25">
      <c r="A45" s="112" t="s">
        <v>8770</v>
      </c>
      <c r="B45" s="124"/>
      <c r="C45" s="124"/>
      <c r="D45" s="125"/>
      <c r="E45" s="125"/>
      <c r="F45" s="125"/>
      <c r="G45" s="125"/>
      <c r="H45" s="125"/>
      <c r="I45" s="125"/>
      <c r="J45" s="134"/>
      <c r="K45" s="125"/>
      <c r="L45" s="125"/>
      <c r="M45" s="125"/>
      <c r="N45" s="125"/>
      <c r="O45" s="125"/>
      <c r="P45" s="125"/>
      <c r="R45" s="63"/>
      <c r="S45" s="63"/>
      <c r="T45" s="63"/>
      <c r="U45" s="63"/>
      <c r="V45" s="63"/>
      <c r="W45" s="63"/>
      <c r="X45" s="63"/>
      <c r="Y45" s="63"/>
      <c r="Z45" s="63"/>
      <c r="AA45" s="63">
        <f>AA39/(1+AA41)^AA42</f>
        <v>920.51022611329017</v>
      </c>
    </row>
    <row r="46" spans="1:27" s="33" customFormat="1" x14ac:dyDescent="0.25">
      <c r="A46" s="112"/>
      <c r="B46" s="124"/>
      <c r="C46" s="124"/>
      <c r="D46" s="125"/>
      <c r="E46" s="125"/>
      <c r="F46" s="125"/>
      <c r="G46" s="125"/>
      <c r="H46" s="125"/>
      <c r="I46" s="125"/>
      <c r="O46" s="112"/>
      <c r="P46" s="112"/>
      <c r="R46" s="63"/>
      <c r="S46" s="63"/>
      <c r="T46" s="63"/>
      <c r="U46" s="63"/>
      <c r="V46" s="63"/>
      <c r="W46" s="63"/>
      <c r="X46" s="63"/>
      <c r="Y46" s="63"/>
      <c r="Z46" s="63"/>
      <c r="AA46" s="63"/>
    </row>
    <row r="47" spans="1:27" s="112" customFormat="1" x14ac:dyDescent="0.25">
      <c r="B47" s="540"/>
      <c r="C47" s="540"/>
      <c r="D47" s="541"/>
      <c r="E47" s="541"/>
      <c r="F47" s="541"/>
      <c r="G47" s="541"/>
      <c r="H47" s="541"/>
      <c r="I47" s="541"/>
      <c r="L47" s="447" t="s">
        <v>8776</v>
      </c>
      <c r="M47" s="445"/>
      <c r="N47" s="445"/>
      <c r="O47" s="445"/>
      <c r="P47" s="478"/>
      <c r="R47" s="312"/>
      <c r="S47" s="312"/>
      <c r="T47" s="312"/>
      <c r="U47" s="312"/>
      <c r="V47" s="312"/>
      <c r="W47" s="312"/>
      <c r="X47" s="312"/>
      <c r="Y47" s="312"/>
      <c r="Z47" s="312"/>
      <c r="AA47" s="312"/>
    </row>
    <row r="48" spans="1:27" x14ac:dyDescent="0.25">
      <c r="L48" s="486"/>
      <c r="M48" s="282"/>
      <c r="N48" s="282"/>
      <c r="O48" s="282"/>
      <c r="P48" s="542"/>
    </row>
    <row r="49" spans="1:27" x14ac:dyDescent="0.25">
      <c r="L49" s="543" t="s">
        <v>8771</v>
      </c>
      <c r="M49" s="43"/>
      <c r="N49" s="43"/>
      <c r="O49" s="43"/>
      <c r="P49" s="544">
        <f>SUM(R44:U44,X44:AA44,AA45)</f>
        <v>1225.5245414148831</v>
      </c>
    </row>
    <row r="50" spans="1:27" x14ac:dyDescent="0.25">
      <c r="L50" s="543" t="s">
        <v>8772</v>
      </c>
      <c r="M50" s="43"/>
      <c r="N50" s="43"/>
      <c r="O50" s="43"/>
      <c r="P50" s="545">
        <f>P109-50</f>
        <v>136.25700000000001</v>
      </c>
    </row>
    <row r="51" spans="1:27" s="33" customFormat="1" x14ac:dyDescent="0.25">
      <c r="B51" s="124"/>
      <c r="C51" s="124"/>
      <c r="D51" s="125"/>
      <c r="E51" s="125"/>
      <c r="F51" s="125"/>
      <c r="G51" s="125"/>
      <c r="H51" s="125"/>
      <c r="I51" s="125"/>
      <c r="L51" s="543" t="s">
        <v>8631</v>
      </c>
      <c r="M51" s="43"/>
      <c r="N51" s="43"/>
      <c r="O51" s="43"/>
      <c r="P51" s="544">
        <f>SUM(P49:P50)</f>
        <v>1361.7815414148831</v>
      </c>
      <c r="R51" s="63"/>
      <c r="S51" s="63"/>
      <c r="T51" s="63"/>
      <c r="U51" s="63"/>
      <c r="V51" s="63"/>
      <c r="W51" s="63"/>
      <c r="X51" s="63"/>
      <c r="Y51" s="63"/>
      <c r="Z51" s="63"/>
      <c r="AA51" s="63"/>
    </row>
    <row r="52" spans="1:27" s="33" customFormat="1" x14ac:dyDescent="0.25">
      <c r="B52" s="124"/>
      <c r="C52" s="124"/>
      <c r="D52" s="125"/>
      <c r="E52" s="125"/>
      <c r="F52" s="125"/>
      <c r="G52" s="125"/>
      <c r="H52" s="125"/>
      <c r="I52" s="125"/>
      <c r="L52" s="546"/>
      <c r="M52" s="46"/>
      <c r="N52" s="124"/>
      <c r="O52" s="124"/>
      <c r="P52" s="547"/>
      <c r="R52" s="63"/>
      <c r="S52" s="63"/>
      <c r="T52" s="63"/>
      <c r="U52" s="63"/>
      <c r="V52" s="63"/>
      <c r="W52" s="63"/>
      <c r="X52" s="63"/>
      <c r="Y52" s="63"/>
      <c r="Z52" s="63"/>
      <c r="AA52" s="63"/>
    </row>
    <row r="53" spans="1:27" s="33" customFormat="1" x14ac:dyDescent="0.25">
      <c r="B53" s="124"/>
      <c r="C53" s="124"/>
      <c r="D53" s="125"/>
      <c r="E53" s="125"/>
      <c r="F53" s="125"/>
      <c r="G53" s="125"/>
      <c r="H53" s="125"/>
      <c r="I53" s="125"/>
      <c r="L53" s="548" t="s">
        <v>8773</v>
      </c>
      <c r="M53" s="46"/>
      <c r="N53" s="124"/>
      <c r="O53" s="124"/>
      <c r="P53" s="561">
        <f>N97</f>
        <v>56.472999999999999</v>
      </c>
      <c r="R53" s="63"/>
      <c r="S53" s="63"/>
      <c r="T53" s="63"/>
      <c r="U53" s="63"/>
      <c r="V53" s="63"/>
      <c r="W53" s="63"/>
      <c r="X53" s="63"/>
      <c r="Y53" s="63"/>
      <c r="Z53" s="63"/>
      <c r="AA53" s="63"/>
    </row>
    <row r="54" spans="1:27" s="33" customFormat="1" x14ac:dyDescent="0.25">
      <c r="B54" s="124"/>
      <c r="C54" s="124"/>
      <c r="D54" s="125"/>
      <c r="E54" s="125"/>
      <c r="F54" s="125"/>
      <c r="G54" s="125"/>
      <c r="H54" s="125"/>
      <c r="I54" s="125"/>
      <c r="L54" s="548" t="s">
        <v>8774</v>
      </c>
      <c r="M54" s="46"/>
      <c r="N54" s="124"/>
      <c r="O54" s="124"/>
      <c r="P54" s="549">
        <f>P51/P53</f>
        <v>24.113851600143132</v>
      </c>
      <c r="R54" s="63"/>
      <c r="S54" s="63"/>
      <c r="T54" s="63"/>
      <c r="U54" s="63"/>
      <c r="V54" s="63"/>
      <c r="W54" s="63"/>
      <c r="X54" s="63"/>
      <c r="Y54" s="63"/>
      <c r="Z54" s="63"/>
      <c r="AA54" s="63"/>
    </row>
    <row r="55" spans="1:27" s="33" customFormat="1" x14ac:dyDescent="0.25">
      <c r="B55" s="124"/>
      <c r="C55" s="124"/>
      <c r="D55" s="125"/>
      <c r="E55" s="125"/>
      <c r="F55" s="125"/>
      <c r="G55" s="125"/>
      <c r="H55" s="125"/>
      <c r="I55" s="125"/>
      <c r="L55" s="548"/>
      <c r="M55" s="46"/>
      <c r="N55" s="124"/>
      <c r="O55" s="124"/>
      <c r="P55" s="549"/>
      <c r="R55" s="63"/>
      <c r="S55" s="63"/>
      <c r="T55" s="63"/>
      <c r="U55" s="63"/>
      <c r="V55" s="63"/>
      <c r="W55" s="63"/>
      <c r="X55" s="63"/>
      <c r="Y55" s="63"/>
      <c r="Z55" s="63"/>
      <c r="AA55" s="63"/>
    </row>
    <row r="56" spans="1:27" s="33" customFormat="1" x14ac:dyDescent="0.25">
      <c r="B56" s="124"/>
      <c r="C56" s="124"/>
      <c r="D56" s="125"/>
      <c r="E56" s="125"/>
      <c r="F56" s="125"/>
      <c r="G56" s="125"/>
      <c r="H56" s="125"/>
      <c r="I56" s="125"/>
      <c r="L56" s="548" t="s">
        <v>8781</v>
      </c>
      <c r="M56" s="46"/>
      <c r="N56" s="124"/>
      <c r="O56" s="124"/>
      <c r="P56" s="560">
        <v>13.84</v>
      </c>
      <c r="R56" s="63"/>
      <c r="S56" s="63"/>
      <c r="T56" s="63"/>
      <c r="U56" s="63"/>
      <c r="V56" s="63"/>
      <c r="W56" s="63"/>
      <c r="X56" s="63"/>
      <c r="Y56" s="63"/>
      <c r="Z56" s="63"/>
      <c r="AA56" s="63"/>
    </row>
    <row r="57" spans="1:27" s="33" customFormat="1" x14ac:dyDescent="0.25">
      <c r="A57" s="112"/>
      <c r="B57" s="124"/>
      <c r="C57" s="124"/>
      <c r="D57" s="125"/>
      <c r="E57" s="125"/>
      <c r="F57" s="125"/>
      <c r="G57" s="125"/>
      <c r="H57" s="125"/>
      <c r="I57" s="125"/>
      <c r="L57" s="550" t="s">
        <v>8775</v>
      </c>
      <c r="M57" s="436"/>
      <c r="N57" s="506"/>
      <c r="O57" s="506"/>
      <c r="P57" s="551">
        <f>P54/P56-1</f>
        <v>0.74233031792941717</v>
      </c>
      <c r="R57" s="63"/>
      <c r="S57" s="63"/>
      <c r="T57" s="63"/>
      <c r="U57" s="63"/>
      <c r="V57" s="63"/>
      <c r="W57" s="63"/>
      <c r="X57" s="63"/>
      <c r="Y57" s="63"/>
      <c r="Z57" s="63"/>
      <c r="AA57" s="63"/>
    </row>
    <row r="58" spans="1:27" x14ac:dyDescent="0.25">
      <c r="B58" s="37"/>
      <c r="C58" s="37"/>
      <c r="D58" s="38"/>
      <c r="E58" s="38"/>
      <c r="F58" s="38"/>
      <c r="G58" s="38"/>
      <c r="H58" s="38"/>
      <c r="I58" s="38"/>
      <c r="L58" s="133"/>
      <c r="M58" s="38"/>
      <c r="N58" s="38"/>
      <c r="O58" s="38"/>
      <c r="P58" s="38"/>
    </row>
    <row r="59" spans="1:27" s="112" customFormat="1" x14ac:dyDescent="0.25">
      <c r="B59" s="540"/>
      <c r="C59" s="540"/>
      <c r="D59" s="541"/>
      <c r="E59" s="541"/>
      <c r="F59" s="541"/>
      <c r="G59" s="541"/>
      <c r="H59" s="541"/>
      <c r="I59" s="541"/>
      <c r="L59" s="447" t="s">
        <v>8778</v>
      </c>
      <c r="M59" s="445"/>
      <c r="N59" s="445"/>
      <c r="O59" s="445"/>
      <c r="P59" s="478"/>
      <c r="R59" s="312"/>
      <c r="S59" s="312"/>
      <c r="T59" s="312"/>
      <c r="U59" s="312"/>
      <c r="V59" s="312"/>
      <c r="W59" s="312"/>
      <c r="X59" s="312"/>
      <c r="Y59" s="312"/>
      <c r="Z59" s="312"/>
      <c r="AA59" s="312"/>
    </row>
    <row r="60" spans="1:27" x14ac:dyDescent="0.25">
      <c r="L60" s="486"/>
      <c r="M60" s="282"/>
      <c r="N60" s="282"/>
      <c r="O60" s="282"/>
      <c r="P60" s="542"/>
    </row>
    <row r="61" spans="1:27" x14ac:dyDescent="0.25">
      <c r="B61" s="37"/>
      <c r="C61" s="37"/>
      <c r="D61" s="38"/>
      <c r="E61" s="38"/>
      <c r="F61" s="38"/>
      <c r="G61" s="38"/>
      <c r="H61" s="38"/>
      <c r="I61" s="38"/>
      <c r="L61" s="552" t="s">
        <v>8631</v>
      </c>
      <c r="M61" s="37"/>
      <c r="N61" s="37"/>
      <c r="O61" s="37"/>
      <c r="P61" s="544">
        <f>P51</f>
        <v>1361.7815414148831</v>
      </c>
    </row>
    <row r="62" spans="1:27" x14ac:dyDescent="0.25">
      <c r="B62" s="37"/>
      <c r="C62" s="37"/>
      <c r="D62" s="38"/>
      <c r="E62" s="38"/>
      <c r="F62" s="38"/>
      <c r="G62" s="38"/>
      <c r="H62" s="38"/>
      <c r="I62" s="38"/>
      <c r="L62" s="552" t="s">
        <v>8777</v>
      </c>
      <c r="M62" s="37"/>
      <c r="N62" s="37"/>
      <c r="O62" s="37"/>
      <c r="P62" s="544">
        <f>P474+P488+P495</f>
        <v>120.014</v>
      </c>
    </row>
    <row r="63" spans="1:27" x14ac:dyDescent="0.25">
      <c r="B63" s="37"/>
      <c r="C63" s="37"/>
      <c r="D63" s="38"/>
      <c r="E63" s="38"/>
      <c r="F63" s="38"/>
      <c r="G63" s="38"/>
      <c r="H63" s="38"/>
      <c r="I63" s="38"/>
      <c r="L63" s="552" t="s">
        <v>8782</v>
      </c>
      <c r="M63" s="37"/>
      <c r="N63" s="37"/>
      <c r="O63" s="37"/>
      <c r="P63" s="553">
        <f>-P50</f>
        <v>-136.25700000000001</v>
      </c>
    </row>
    <row r="64" spans="1:27" x14ac:dyDescent="0.25">
      <c r="B64" s="37"/>
      <c r="C64" s="37"/>
      <c r="D64" s="38"/>
      <c r="E64" s="38"/>
      <c r="F64" s="38"/>
      <c r="G64" s="38"/>
      <c r="H64" s="38"/>
      <c r="I64" s="38"/>
      <c r="L64" s="552" t="s">
        <v>8632</v>
      </c>
      <c r="M64" s="37"/>
      <c r="N64" s="37"/>
      <c r="O64" s="37"/>
      <c r="P64" s="544">
        <f>SUM(P61:P63)</f>
        <v>1345.538541414883</v>
      </c>
    </row>
    <row r="65" spans="1:27" x14ac:dyDescent="0.25">
      <c r="B65" s="37"/>
      <c r="C65" s="37"/>
      <c r="D65" s="38"/>
      <c r="E65" s="38"/>
      <c r="F65" s="38"/>
      <c r="G65" s="38"/>
      <c r="H65" s="38"/>
      <c r="I65" s="38"/>
      <c r="L65" s="552"/>
      <c r="M65" s="37"/>
      <c r="N65" s="37"/>
      <c r="O65" s="37"/>
      <c r="P65" s="554"/>
    </row>
    <row r="66" spans="1:27" x14ac:dyDescent="0.25">
      <c r="B66" s="37"/>
      <c r="C66" s="37"/>
      <c r="D66" s="38"/>
      <c r="E66" s="38"/>
      <c r="F66" s="38"/>
      <c r="G66" s="38"/>
      <c r="H66" s="38"/>
      <c r="I66" s="38"/>
      <c r="L66" s="552" t="s">
        <v>8779</v>
      </c>
      <c r="M66" s="37"/>
      <c r="N66" s="37"/>
      <c r="O66" s="555">
        <f>P64/P66</f>
        <v>14.315001238522086</v>
      </c>
      <c r="P66" s="544">
        <f>SUM(M99:P99)</f>
        <v>93.994999999999962</v>
      </c>
    </row>
    <row r="67" spans="1:27" x14ac:dyDescent="0.25">
      <c r="B67" s="37"/>
      <c r="C67" s="37"/>
      <c r="D67" s="38"/>
      <c r="E67" s="38"/>
      <c r="F67" s="38"/>
      <c r="G67" s="38"/>
      <c r="H67" s="38"/>
      <c r="I67" s="38"/>
      <c r="L67" s="556" t="s">
        <v>8780</v>
      </c>
      <c r="M67" s="557"/>
      <c r="N67" s="557"/>
      <c r="O67" s="558">
        <f>P64/P67</f>
        <v>11.891900489369631</v>
      </c>
      <c r="P67" s="559">
        <f>SUM(R99:U99)</f>
        <v>113.14747736223343</v>
      </c>
    </row>
    <row r="68" spans="1:27" x14ac:dyDescent="0.25">
      <c r="B68" s="37"/>
      <c r="C68" s="37"/>
      <c r="D68" s="38"/>
      <c r="E68" s="38"/>
      <c r="F68" s="38"/>
      <c r="G68" s="38"/>
      <c r="H68" s="38"/>
      <c r="I68" s="38"/>
      <c r="J68" s="133"/>
      <c r="K68" s="38"/>
      <c r="L68" s="38"/>
      <c r="M68" s="38"/>
      <c r="N68" s="38"/>
      <c r="O68" s="38"/>
      <c r="P68" s="38"/>
    </row>
    <row r="69" spans="1:27" x14ac:dyDescent="0.25">
      <c r="B69" s="37"/>
      <c r="C69" s="37"/>
      <c r="D69" s="38"/>
      <c r="E69" s="38"/>
      <c r="F69" s="38"/>
      <c r="G69" s="38"/>
      <c r="H69" s="38"/>
      <c r="I69" s="38"/>
      <c r="J69" s="133"/>
      <c r="K69" s="38"/>
      <c r="L69" s="38"/>
      <c r="M69" s="38"/>
      <c r="N69" s="38"/>
      <c r="O69" s="38"/>
      <c r="P69" s="38"/>
    </row>
    <row r="70" spans="1:27" x14ac:dyDescent="0.25">
      <c r="A70" s="39" t="s">
        <v>8685</v>
      </c>
      <c r="B70" s="40"/>
      <c r="C70" s="40"/>
      <c r="D70" s="40"/>
      <c r="E70" s="40"/>
      <c r="F70" s="40"/>
      <c r="G70" s="40"/>
      <c r="H70" s="40"/>
      <c r="I70" s="40"/>
      <c r="J70" s="40"/>
      <c r="K70" s="40"/>
      <c r="L70" s="40"/>
      <c r="M70" s="40"/>
      <c r="N70" s="40"/>
      <c r="O70" s="40"/>
      <c r="P70" s="40"/>
      <c r="Q70" s="41"/>
      <c r="R70" s="41"/>
      <c r="S70" s="41"/>
      <c r="T70" s="41"/>
      <c r="U70" s="41"/>
      <c r="V70" s="41"/>
      <c r="W70" s="41"/>
      <c r="X70" s="41"/>
      <c r="Y70" s="41"/>
      <c r="Z70" s="41"/>
      <c r="AA70" s="42"/>
    </row>
    <row r="71" spans="1:27" x14ac:dyDescent="0.25">
      <c r="B71" s="37"/>
      <c r="C71" s="37"/>
      <c r="D71" s="38"/>
      <c r="E71" s="38"/>
      <c r="F71" s="38"/>
      <c r="G71" s="38"/>
      <c r="H71" s="38"/>
      <c r="I71" s="38"/>
      <c r="J71" s="133"/>
      <c r="K71" s="38"/>
      <c r="L71" s="38"/>
      <c r="M71" s="38"/>
      <c r="N71" s="38"/>
      <c r="O71" s="38"/>
      <c r="P71" s="38"/>
    </row>
    <row r="72" spans="1:27" x14ac:dyDescent="0.25">
      <c r="A72" s="31" t="s">
        <v>97</v>
      </c>
      <c r="B72" s="43"/>
      <c r="C72" s="43"/>
      <c r="D72" s="55">
        <v>415.017</v>
      </c>
      <c r="E72" s="55">
        <v>404.02499999999998</v>
      </c>
      <c r="F72" s="55">
        <v>412.97300000000001</v>
      </c>
      <c r="G72" s="55">
        <v>411.87599999999998</v>
      </c>
      <c r="H72" s="55">
        <v>393.416</v>
      </c>
      <c r="I72" s="55">
        <v>388.286</v>
      </c>
      <c r="J72" s="140">
        <v>392.149</v>
      </c>
      <c r="K72" s="55">
        <v>390.03899999999999</v>
      </c>
      <c r="L72" s="55">
        <v>371.72699999999998</v>
      </c>
      <c r="M72" s="55">
        <v>360.959</v>
      </c>
      <c r="N72" s="55">
        <v>367.23</v>
      </c>
      <c r="O72" s="55">
        <v>380.18700000000001</v>
      </c>
      <c r="P72" s="55">
        <v>364.74200000000002</v>
      </c>
      <c r="Q72" s="55"/>
      <c r="R72" s="55">
        <f>SUM(R189*R253,R190*R254,R191*R255,R192*R256,R193*R257,R184*R258)</f>
        <v>371.77132079922501</v>
      </c>
      <c r="S72" s="55">
        <f>SUM(S189*S253,S190*S254,S191*S255,S192*S256,S193*S257,S184*S258)</f>
        <v>372.83937574653567</v>
      </c>
      <c r="T72" s="55">
        <f>SUM(T189*T253,T190*T254,T191*T255,T192*T256,T193*T257,T184*T258)</f>
        <v>386.81916866162419</v>
      </c>
      <c r="U72" s="55">
        <f>SUM(U189*U253,U190*U254,U191*U255,U192*U256,U193*U257,U184*U258)</f>
        <v>373.76845101710296</v>
      </c>
      <c r="V72" s="55"/>
      <c r="W72" s="55">
        <f>SUM(R72:U72)</f>
        <v>1505.1983162244878</v>
      </c>
      <c r="X72" s="55">
        <f>SUM(X189*X253,X190*X254,X191*X255,X192*X256,X193*X257,X184*X258)</f>
        <v>1546.9613453073214</v>
      </c>
      <c r="Y72" s="55">
        <f>SUM(Y189*Y253,Y190*Y254,Y191*Y255,Y192*Y256,Y193*Y257,Y184*Y258)</f>
        <v>1593.3701856665411</v>
      </c>
      <c r="Z72" s="55">
        <f>SUM(Z189*Z253,Z190*Z254,Z191*Z255,Z192*Z256,Z193*Z257,Z184*Z258)</f>
        <v>1641.1712912365372</v>
      </c>
      <c r="AA72" s="55">
        <f>SUM(AA189*AA253,AA190*AA254,AA191*AA255,AA192*AA256,AA193*AA257,AA184*AA258)</f>
        <v>1690.4064299736333</v>
      </c>
    </row>
    <row r="73" spans="1:27" x14ac:dyDescent="0.25">
      <c r="A73" s="31" t="s">
        <v>98</v>
      </c>
      <c r="B73" s="43"/>
      <c r="C73" s="43"/>
      <c r="D73" s="55">
        <v>106.773</v>
      </c>
      <c r="E73" s="55">
        <v>112.9</v>
      </c>
      <c r="F73" s="55">
        <v>113.15300000000001</v>
      </c>
      <c r="G73" s="55">
        <v>107.22199999999999</v>
      </c>
      <c r="H73" s="55">
        <v>102.28400000000001</v>
      </c>
      <c r="I73" s="55">
        <v>108.236</v>
      </c>
      <c r="J73" s="140">
        <v>103.22199999999999</v>
      </c>
      <c r="K73" s="55">
        <v>101.965</v>
      </c>
      <c r="L73" s="55">
        <v>86.742999999999995</v>
      </c>
      <c r="M73" s="55">
        <v>97.769000000000005</v>
      </c>
      <c r="N73" s="55">
        <v>94.308999999999997</v>
      </c>
      <c r="O73" s="55">
        <v>92.632999999999996</v>
      </c>
      <c r="P73" s="55">
        <v>88.762</v>
      </c>
      <c r="Q73" s="55"/>
      <c r="R73" s="55">
        <f>SUM(R189*(1-R253),R190*(1-R254),R191*(1-R255),R192*(1-R256),R193*(1-R257),R184*(1-R258))</f>
        <v>90.754726025843084</v>
      </c>
      <c r="S73" s="55">
        <f>SUM(S189*(1-S253),S190*(1-S254),S191*(1-S255),S192*(1-S256),S193*(1-S257),S184*(1-S258))</f>
        <v>92.48885259254476</v>
      </c>
      <c r="T73" s="55">
        <f>SUM(T189*(1-T253),T190*(1-T254),T191*(1-T255),T192*(1-T256),T193*(1-T257),T184*(1-T258))</f>
        <v>94.257366503475225</v>
      </c>
      <c r="U73" s="55">
        <f>SUM(U189*(1-U253),U190*(1-U254),U191*(1-U255),U192*(1-U256),U193*(1-U257),U184*(1-U258))</f>
        <v>91.204249787684788</v>
      </c>
      <c r="V73" s="55"/>
      <c r="W73" s="55">
        <f>SUM(R73:U73)</f>
        <v>368.70519490954786</v>
      </c>
      <c r="X73" s="55">
        <f>SUM(X189*(1-X253),X190*(1-X254),X191*(1-X255),X192*(1-X256),X193*(1-X257),X184*(1-X258))</f>
        <v>379.43192577270037</v>
      </c>
      <c r="Y73" s="55">
        <f>SUM(Y189*(1-Y253),Y190*(1-Y254),Y191*(1-Y255),Y192*(1-Y256),Y193*(1-Y257),Y184*(1-Y258))</f>
        <v>390.8148835458814</v>
      </c>
      <c r="Z73" s="55">
        <f>SUM(Z189*(1-Z253),Z190*(1-Z254),Z191*(1-Z255),Z192*(1-Z256),Z193*(1-Z257),Z184*(1-Z258))</f>
        <v>402.53933005225792</v>
      </c>
      <c r="AA73" s="55">
        <f>SUM(AA189*(1-AA253),AA190*(1-AA254),AA191*(1-AA255),AA192*(1-AA256),AA193*(1-AA257),AA184*(1-AA258))</f>
        <v>414.61550995382561</v>
      </c>
    </row>
    <row r="74" spans="1:27" x14ac:dyDescent="0.25">
      <c r="A74" s="31" t="s">
        <v>99</v>
      </c>
      <c r="B74" s="43"/>
      <c r="C74" s="43"/>
      <c r="D74" s="62">
        <v>9.5559999999999992</v>
      </c>
      <c r="E74" s="62">
        <v>9.2129999999999992</v>
      </c>
      <c r="F74" s="62">
        <v>9.7750000000000004</v>
      </c>
      <c r="G74" s="62">
        <v>9.7439999999999998</v>
      </c>
      <c r="H74" s="62">
        <v>9.66</v>
      </c>
      <c r="I74" s="62">
        <v>9.6430000000000007</v>
      </c>
      <c r="J74" s="143">
        <v>9.5660000000000007</v>
      </c>
      <c r="K74" s="62">
        <v>10.247</v>
      </c>
      <c r="L74" s="62">
        <v>10.113</v>
      </c>
      <c r="M74" s="62">
        <v>9.6389999999999993</v>
      </c>
      <c r="N74" s="62">
        <v>10.022</v>
      </c>
      <c r="O74" s="62">
        <v>11.106</v>
      </c>
      <c r="P74" s="62">
        <v>11.047000000000001</v>
      </c>
      <c r="Q74" s="55"/>
      <c r="R74" s="62">
        <f>R219</f>
        <v>10.954542732979238</v>
      </c>
      <c r="S74" s="62">
        <f>S219</f>
        <v>10.700206451612903</v>
      </c>
      <c r="T74" s="62">
        <f>T219</f>
        <v>10.09973781353526</v>
      </c>
      <c r="U74" s="62">
        <f>U219</f>
        <v>10.402582278481013</v>
      </c>
      <c r="V74" s="55"/>
      <c r="W74" s="62">
        <f>SUM(R74:U74)</f>
        <v>42.157069276608411</v>
      </c>
      <c r="X74" s="62">
        <f>X219</f>
        <v>42.157069276608411</v>
      </c>
      <c r="Y74" s="62">
        <f>Y219</f>
        <v>42.157069276608411</v>
      </c>
      <c r="Z74" s="62">
        <f>Z219</f>
        <v>42.157069276608411</v>
      </c>
      <c r="AA74" s="62">
        <f>AA219</f>
        <v>42.157069276608411</v>
      </c>
    </row>
    <row r="75" spans="1:27" s="33" customFormat="1" x14ac:dyDescent="0.25">
      <c r="A75" s="33" t="s">
        <v>100</v>
      </c>
      <c r="B75" s="46"/>
      <c r="C75" s="46"/>
      <c r="D75" s="63">
        <f t="shared" ref="D75:P75" si="10">SUM(D72:D74)</f>
        <v>531.346</v>
      </c>
      <c r="E75" s="63">
        <f t="shared" si="10"/>
        <v>526.13799999999992</v>
      </c>
      <c r="F75" s="63">
        <f t="shared" si="10"/>
        <v>535.90099999999995</v>
      </c>
      <c r="G75" s="63">
        <f t="shared" si="10"/>
        <v>528.84199999999998</v>
      </c>
      <c r="H75" s="63">
        <f t="shared" si="10"/>
        <v>505.36</v>
      </c>
      <c r="I75" s="63">
        <f t="shared" si="10"/>
        <v>506.16499999999996</v>
      </c>
      <c r="J75" s="141">
        <f t="shared" si="10"/>
        <v>504.93699999999995</v>
      </c>
      <c r="K75" s="63">
        <f t="shared" si="10"/>
        <v>502.25100000000003</v>
      </c>
      <c r="L75" s="63">
        <f t="shared" si="10"/>
        <v>468.58299999999997</v>
      </c>
      <c r="M75" s="63">
        <f t="shared" si="10"/>
        <v>468.36700000000002</v>
      </c>
      <c r="N75" s="63">
        <f t="shared" si="10"/>
        <v>471.56099999999998</v>
      </c>
      <c r="O75" s="63">
        <f t="shared" si="10"/>
        <v>483.92599999999999</v>
      </c>
      <c r="P75" s="63">
        <f t="shared" si="10"/>
        <v>464.55100000000004</v>
      </c>
      <c r="Q75" s="63"/>
      <c r="R75" s="63">
        <f>SUM(R72:R74)</f>
        <v>473.48058955804731</v>
      </c>
      <c r="S75" s="63">
        <f>SUM(S72:S74)</f>
        <v>476.02843479069332</v>
      </c>
      <c r="T75" s="63">
        <f>SUM(T72:T74)</f>
        <v>491.1762729786347</v>
      </c>
      <c r="U75" s="63">
        <f>SUM(U72:U74)</f>
        <v>475.37528308326876</v>
      </c>
      <c r="V75" s="63"/>
      <c r="W75" s="63">
        <f>SUM(W72:W74)</f>
        <v>1916.060580410644</v>
      </c>
      <c r="X75" s="63">
        <f>SUM(X72:X74)</f>
        <v>1968.5503403566302</v>
      </c>
      <c r="Y75" s="63">
        <f>SUM(Y72:Y74)</f>
        <v>2026.342138489031</v>
      </c>
      <c r="Z75" s="63">
        <f>SUM(Z72:Z74)</f>
        <v>2085.8676905654038</v>
      </c>
      <c r="AA75" s="63">
        <f>SUM(AA72:AA74)</f>
        <v>2147.1790092040674</v>
      </c>
    </row>
    <row r="76" spans="1:27" x14ac:dyDescent="0.25">
      <c r="B76" s="43"/>
      <c r="C76" s="43"/>
      <c r="D76" s="55"/>
      <c r="E76" s="55"/>
      <c r="F76" s="55"/>
      <c r="G76" s="55"/>
      <c r="H76" s="55"/>
      <c r="I76" s="55"/>
      <c r="J76" s="140"/>
      <c r="K76" s="55"/>
      <c r="L76" s="55"/>
      <c r="M76" s="55"/>
      <c r="N76" s="55"/>
      <c r="O76" s="55"/>
      <c r="P76" s="55"/>
      <c r="Q76" s="55"/>
      <c r="R76" s="55"/>
      <c r="S76" s="55"/>
      <c r="T76" s="55"/>
      <c r="U76" s="55"/>
      <c r="V76" s="55"/>
      <c r="W76" s="264"/>
      <c r="X76" s="264"/>
      <c r="Y76" s="264"/>
      <c r="Z76" s="264"/>
      <c r="AA76" s="264"/>
    </row>
    <row r="77" spans="1:27" x14ac:dyDescent="0.25">
      <c r="A77" s="31" t="s">
        <v>101</v>
      </c>
      <c r="B77" s="43"/>
      <c r="C77" s="43"/>
      <c r="D77" s="55">
        <v>235.66499999999999</v>
      </c>
      <c r="E77" s="55">
        <v>231.392</v>
      </c>
      <c r="F77" s="55">
        <v>239.41300000000001</v>
      </c>
      <c r="G77" s="55">
        <v>235.20099999999999</v>
      </c>
      <c r="H77" s="55">
        <v>238.07900000000001</v>
      </c>
      <c r="I77" s="55">
        <v>234.26499999999999</v>
      </c>
      <c r="J77" s="140">
        <v>234.321</v>
      </c>
      <c r="K77" s="55">
        <v>229.57300000000001</v>
      </c>
      <c r="L77" s="55">
        <v>225.01499999999999</v>
      </c>
      <c r="M77" s="55">
        <v>224.238</v>
      </c>
      <c r="N77" s="55">
        <v>226.34399999999999</v>
      </c>
      <c r="O77" s="55">
        <v>232.52199999999999</v>
      </c>
      <c r="P77" s="55">
        <v>223.68700000000001</v>
      </c>
      <c r="Q77" s="55"/>
      <c r="R77" s="55">
        <f t="shared" ref="R77:U78" si="11">R72*R301</f>
        <v>230.95492128850265</v>
      </c>
      <c r="S77" s="55">
        <f t="shared" si="11"/>
        <v>229.80136607568517</v>
      </c>
      <c r="T77" s="55">
        <f t="shared" si="11"/>
        <v>236.57822791294331</v>
      </c>
      <c r="U77" s="55">
        <f t="shared" si="11"/>
        <v>229.22269303415212</v>
      </c>
      <c r="V77" s="55"/>
      <c r="W77" s="55">
        <f t="shared" ref="W77:W82" si="12">SUM(R77:U77)</f>
        <v>926.55720831128326</v>
      </c>
      <c r="X77" s="55">
        <f t="shared" ref="X77:AA78" si="13">X72*X301</f>
        <v>952.26533940637682</v>
      </c>
      <c r="Y77" s="55">
        <f t="shared" si="13"/>
        <v>980.83329958856825</v>
      </c>
      <c r="Z77" s="55">
        <f t="shared" si="13"/>
        <v>1010.2582985762251</v>
      </c>
      <c r="AA77" s="55">
        <f t="shared" si="13"/>
        <v>1040.5660475335119</v>
      </c>
    </row>
    <row r="78" spans="1:27" x14ac:dyDescent="0.25">
      <c r="A78" s="31" t="s">
        <v>102</v>
      </c>
      <c r="B78" s="43"/>
      <c r="C78" s="43"/>
      <c r="D78" s="55">
        <v>53.023000000000003</v>
      </c>
      <c r="E78" s="55">
        <v>57.006999999999998</v>
      </c>
      <c r="F78" s="55">
        <v>56.863999999999997</v>
      </c>
      <c r="G78" s="55">
        <v>54.741</v>
      </c>
      <c r="H78" s="55">
        <v>53.131999999999998</v>
      </c>
      <c r="I78" s="55">
        <v>55.064</v>
      </c>
      <c r="J78" s="140">
        <v>53.276000000000003</v>
      </c>
      <c r="K78" s="55">
        <v>54.548000000000002</v>
      </c>
      <c r="L78" s="55">
        <v>43.17</v>
      </c>
      <c r="M78" s="55">
        <v>50.460999999999999</v>
      </c>
      <c r="N78" s="55">
        <v>46.146000000000001</v>
      </c>
      <c r="O78" s="55">
        <v>46.573</v>
      </c>
      <c r="P78" s="55">
        <v>44.976999999999997</v>
      </c>
      <c r="Q78" s="55"/>
      <c r="R78" s="55">
        <f t="shared" si="11"/>
        <v>46.840759647639516</v>
      </c>
      <c r="S78" s="55">
        <f t="shared" si="11"/>
        <v>45.255390172046894</v>
      </c>
      <c r="T78" s="55">
        <f t="shared" si="11"/>
        <v>47.389681108960652</v>
      </c>
      <c r="U78" s="55">
        <f t="shared" si="11"/>
        <v>46.214523587804443</v>
      </c>
      <c r="V78" s="55"/>
      <c r="W78" s="55">
        <f t="shared" si="12"/>
        <v>185.70035451645151</v>
      </c>
      <c r="X78" s="55">
        <f t="shared" si="13"/>
        <v>191.10293020996366</v>
      </c>
      <c r="Y78" s="55">
        <f t="shared" si="13"/>
        <v>196.83601811626258</v>
      </c>
      <c r="Z78" s="55">
        <f t="shared" si="13"/>
        <v>202.74109865975052</v>
      </c>
      <c r="AA78" s="55">
        <f t="shared" si="13"/>
        <v>208.82333161954301</v>
      </c>
    </row>
    <row r="79" spans="1:27" x14ac:dyDescent="0.25">
      <c r="A79" s="31" t="s">
        <v>103</v>
      </c>
      <c r="B79" s="43"/>
      <c r="C79" s="43"/>
      <c r="D79" s="55">
        <v>54.811</v>
      </c>
      <c r="E79" s="55">
        <v>51.466000000000001</v>
      </c>
      <c r="F79" s="55">
        <v>50.783000000000001</v>
      </c>
      <c r="G79" s="55">
        <v>49.131</v>
      </c>
      <c r="H79" s="55">
        <v>54.735999999999997</v>
      </c>
      <c r="I79" s="55">
        <v>50.999000000000002</v>
      </c>
      <c r="J79" s="140">
        <v>53.737000000000002</v>
      </c>
      <c r="K79" s="55">
        <v>47.956000000000003</v>
      </c>
      <c r="L79" s="55">
        <v>50.841000000000001</v>
      </c>
      <c r="M79" s="55">
        <v>50.877000000000002</v>
      </c>
      <c r="N79" s="55">
        <v>50.215000000000003</v>
      </c>
      <c r="O79" s="55">
        <v>51.098999999999997</v>
      </c>
      <c r="P79" s="55">
        <v>51.652000000000001</v>
      </c>
      <c r="Q79" s="55"/>
      <c r="R79" s="55">
        <f>R303/1000000*(R210+R213)</f>
        <v>49.996429923602193</v>
      </c>
      <c r="S79" s="55">
        <f>S303/1000000*(S210+S213)</f>
        <v>49.296412104726279</v>
      </c>
      <c r="T79" s="55">
        <f>T303/1000000*(T210+T213)</f>
        <v>50.545783472659998</v>
      </c>
      <c r="U79" s="55">
        <f>U303/1000000*(U210+U213)</f>
        <v>51.441757295619176</v>
      </c>
      <c r="V79" s="55"/>
      <c r="W79" s="55">
        <f t="shared" si="12"/>
        <v>201.28038279660763</v>
      </c>
      <c r="X79" s="55">
        <f>X303/1000000*(X210+X213)</f>
        <v>200.93984983737568</v>
      </c>
      <c r="Y79" s="55">
        <f>Y303/1000000*(Y210+Y213)</f>
        <v>200.93984983737568</v>
      </c>
      <c r="Z79" s="55">
        <f>Z303/1000000*(Z210+Z213)</f>
        <v>200.93984983737568</v>
      </c>
      <c r="AA79" s="55">
        <f>AA303/1000000*(AA210+AA213)</f>
        <v>200.93984983737568</v>
      </c>
    </row>
    <row r="80" spans="1:27" x14ac:dyDescent="0.25">
      <c r="A80" s="31" t="s">
        <v>104</v>
      </c>
      <c r="B80" s="43"/>
      <c r="C80" s="43"/>
      <c r="D80" s="55">
        <v>63.088000000000001</v>
      </c>
      <c r="E80" s="55">
        <v>60.85</v>
      </c>
      <c r="F80" s="55">
        <v>54.661000000000001</v>
      </c>
      <c r="G80" s="55">
        <v>54.98</v>
      </c>
      <c r="H80" s="55">
        <v>48.265000000000001</v>
      </c>
      <c r="I80" s="55">
        <v>54.798000000000002</v>
      </c>
      <c r="J80" s="140">
        <v>55.941000000000003</v>
      </c>
      <c r="K80" s="55">
        <v>51.472999999999999</v>
      </c>
      <c r="L80" s="55">
        <v>43.658000000000001</v>
      </c>
      <c r="M80" s="55">
        <v>42.344999999999999</v>
      </c>
      <c r="N80" s="55">
        <v>42.49</v>
      </c>
      <c r="O80" s="55">
        <v>45.034999999999997</v>
      </c>
      <c r="P80" s="55">
        <v>45.185000000000002</v>
      </c>
      <c r="Q80" s="55"/>
      <c r="R80" s="55">
        <f>R305/1000000*(R210+R213)</f>
        <v>41.61210026367386</v>
      </c>
      <c r="S80" s="55">
        <f>S305/1000000*(S210+S213)</f>
        <v>41.712726283577013</v>
      </c>
      <c r="T80" s="55">
        <f>T305/1000000*(T210+T213)</f>
        <v>44.547434562148823</v>
      </c>
      <c r="U80" s="55">
        <f>U305/1000000*(U210+U213)</f>
        <v>45.001080372542255</v>
      </c>
      <c r="V80" s="55"/>
      <c r="W80" s="55">
        <f t="shared" si="12"/>
        <v>172.87334148194194</v>
      </c>
      <c r="X80" s="55">
        <f>X305/1000000*(X210+X213)</f>
        <v>172.58991541203457</v>
      </c>
      <c r="Y80" s="55">
        <f>Y305/1000000*(Y210+Y213)</f>
        <v>172.58991541203457</v>
      </c>
      <c r="Z80" s="55">
        <f>Z305/1000000*(Z210+Z213)</f>
        <v>172.58991541203457</v>
      </c>
      <c r="AA80" s="55">
        <f>AA305/1000000*(AA210+AA213)</f>
        <v>172.58991541203457</v>
      </c>
    </row>
    <row r="81" spans="1:28" x14ac:dyDescent="0.25">
      <c r="A81" s="31" t="s">
        <v>105</v>
      </c>
      <c r="B81" s="43"/>
      <c r="C81" s="43"/>
      <c r="D81" s="55">
        <v>82.176000000000002</v>
      </c>
      <c r="E81" s="55">
        <v>83.248999999999995</v>
      </c>
      <c r="F81" s="55">
        <v>82.17</v>
      </c>
      <c r="G81" s="55">
        <v>84.174000000000007</v>
      </c>
      <c r="H81" s="55">
        <v>81.498999999999995</v>
      </c>
      <c r="I81" s="55">
        <v>80.555000000000007</v>
      </c>
      <c r="J81" s="140">
        <v>80.760999999999996</v>
      </c>
      <c r="K81" s="55">
        <v>81.900999999999996</v>
      </c>
      <c r="L81" s="55">
        <v>79.010000000000005</v>
      </c>
      <c r="M81" s="55">
        <v>79.164000000000001</v>
      </c>
      <c r="N81" s="55">
        <v>80.614000000000004</v>
      </c>
      <c r="O81" s="55">
        <v>83.316999999999993</v>
      </c>
      <c r="P81" s="55">
        <v>77.468999999999994</v>
      </c>
      <c r="Q81" s="55"/>
      <c r="R81" s="55">
        <f>R307/1000000*(R210+R213)</f>
        <v>77.793843553512261</v>
      </c>
      <c r="S81" s="55">
        <f>S307/1000000*(S210+S213)</f>
        <v>79.139320231213873</v>
      </c>
      <c r="T81" s="55">
        <f>T307/1000000*(T210+T213)</f>
        <v>82.414979580649586</v>
      </c>
      <c r="U81" s="55">
        <f>U307/1000000*(U210+U213)</f>
        <v>77.153672576750594</v>
      </c>
      <c r="V81" s="55"/>
      <c r="W81" s="55">
        <f t="shared" si="12"/>
        <v>316.50181594212631</v>
      </c>
      <c r="X81" s="55">
        <f>X307/1000000*(X210+X213)</f>
        <v>315.97195075383621</v>
      </c>
      <c r="Y81" s="55">
        <f>Y307/1000000*(Y210+Y213)</f>
        <v>315.97195075383621</v>
      </c>
      <c r="Z81" s="55">
        <f>Z307/1000000*(Z210+Z213)</f>
        <v>315.97195075383621</v>
      </c>
      <c r="AA81" s="55">
        <f>AA307/1000000*(AA210+AA213)</f>
        <v>315.97195075383621</v>
      </c>
    </row>
    <row r="82" spans="1:28" x14ac:dyDescent="0.25">
      <c r="A82" s="82" t="s">
        <v>106</v>
      </c>
      <c r="B82" s="43"/>
      <c r="C82" s="43"/>
      <c r="D82" s="62">
        <v>22.097999999999999</v>
      </c>
      <c r="E82" s="62">
        <v>22.108000000000001</v>
      </c>
      <c r="F82" s="62">
        <v>22.353000000000002</v>
      </c>
      <c r="G82" s="62">
        <v>22.262</v>
      </c>
      <c r="H82" s="62">
        <v>20.709</v>
      </c>
      <c r="I82" s="62">
        <v>21.890999999999998</v>
      </c>
      <c r="J82" s="143">
        <v>21.988</v>
      </c>
      <c r="K82" s="62">
        <v>25.302</v>
      </c>
      <c r="L82" s="62">
        <v>23.085999999999999</v>
      </c>
      <c r="M82" s="62">
        <v>24.640999999999998</v>
      </c>
      <c r="N82" s="62">
        <v>28.343</v>
      </c>
      <c r="O82" s="62">
        <v>22.917999999999999</v>
      </c>
      <c r="P82" s="62">
        <v>22.187999999999999</v>
      </c>
      <c r="Q82" s="55"/>
      <c r="R82" s="268">
        <f>R309/1000000*(R210+R213)</f>
        <v>24.214517950104792</v>
      </c>
      <c r="S82" s="62">
        <f>S309/1000000*(S210+S213)</f>
        <v>27.824518735124109</v>
      </c>
      <c r="T82" s="62">
        <f>T309/1000000*(T210+T213)</f>
        <v>22.669881321090859</v>
      </c>
      <c r="U82" s="62">
        <f>U309/1000000*(U210+U213)</f>
        <v>22.097686650569162</v>
      </c>
      <c r="V82" s="55"/>
      <c r="W82" s="62">
        <f t="shared" si="12"/>
        <v>96.806604656888922</v>
      </c>
      <c r="X82" s="62">
        <f>X309/1000000*(X210+X213)</f>
        <v>96.641676051656006</v>
      </c>
      <c r="Y82" s="62">
        <f>Y309/1000000*(Y210+Y213)</f>
        <v>96.641676051656006</v>
      </c>
      <c r="Z82" s="62">
        <f>Z309/1000000*(Z210+Z213)</f>
        <v>96.641676051656006</v>
      </c>
      <c r="AA82" s="62">
        <f>AA309/1000000*(AA210+AA213)</f>
        <v>96.641676051656006</v>
      </c>
    </row>
    <row r="83" spans="1:28" s="33" customFormat="1" x14ac:dyDescent="0.25">
      <c r="A83" s="33" t="s">
        <v>107</v>
      </c>
      <c r="B83" s="46"/>
      <c r="C83" s="46"/>
      <c r="D83" s="63">
        <f t="shared" ref="D83:P83" si="14">SUM(D77:D82)</f>
        <v>510.86099999999999</v>
      </c>
      <c r="E83" s="63">
        <f t="shared" si="14"/>
        <v>506.07200000000006</v>
      </c>
      <c r="F83" s="63">
        <f t="shared" si="14"/>
        <v>506.24400000000003</v>
      </c>
      <c r="G83" s="63">
        <f t="shared" si="14"/>
        <v>500.48899999999998</v>
      </c>
      <c r="H83" s="63">
        <f t="shared" si="14"/>
        <v>496.42</v>
      </c>
      <c r="I83" s="63">
        <f t="shared" si="14"/>
        <v>497.57200000000006</v>
      </c>
      <c r="J83" s="141">
        <f t="shared" si="14"/>
        <v>500.02399999999994</v>
      </c>
      <c r="K83" s="63">
        <f t="shared" si="14"/>
        <v>490.75300000000004</v>
      </c>
      <c r="L83" s="63">
        <f t="shared" si="14"/>
        <v>464.78000000000003</v>
      </c>
      <c r="M83" s="63">
        <f t="shared" si="14"/>
        <v>471.72600000000006</v>
      </c>
      <c r="N83" s="63">
        <f t="shared" si="14"/>
        <v>474.1520000000001</v>
      </c>
      <c r="O83" s="63">
        <f t="shared" si="14"/>
        <v>481.46399999999994</v>
      </c>
      <c r="P83" s="63">
        <f t="shared" si="14"/>
        <v>465.15799999999996</v>
      </c>
      <c r="Q83" s="63"/>
      <c r="R83" s="63">
        <f>SUM(R77:R82)</f>
        <v>471.41257262703527</v>
      </c>
      <c r="S83" s="63">
        <f>SUM(S77:S82)</f>
        <v>473.02973360237331</v>
      </c>
      <c r="T83" s="63">
        <f>SUM(T77:T82)</f>
        <v>484.14598795845319</v>
      </c>
      <c r="U83" s="63">
        <f>SUM(U77:U82)</f>
        <v>471.13141351743781</v>
      </c>
      <c r="V83" s="63"/>
      <c r="W83" s="63">
        <f>SUM(W77:W82)</f>
        <v>1899.7197077052997</v>
      </c>
      <c r="X83" s="63">
        <f>SUM(X77:X82)</f>
        <v>1929.511661671243</v>
      </c>
      <c r="Y83" s="63">
        <f>SUM(Y77:Y82)</f>
        <v>1963.8127097597333</v>
      </c>
      <c r="Z83" s="63">
        <f>SUM(Z77:Z82)</f>
        <v>1999.1427892908782</v>
      </c>
      <c r="AA83" s="63">
        <f>SUM(AA77:AA82)</f>
        <v>2035.5327712079575</v>
      </c>
    </row>
    <row r="84" spans="1:28" x14ac:dyDescent="0.25">
      <c r="B84" s="43"/>
      <c r="C84" s="43"/>
      <c r="D84" s="55"/>
      <c r="E84" s="55"/>
      <c r="F84" s="55"/>
      <c r="G84" s="55"/>
      <c r="H84" s="55"/>
      <c r="I84" s="55"/>
      <c r="J84" s="140"/>
      <c r="K84" s="55"/>
      <c r="L84" s="55"/>
      <c r="M84" s="55"/>
      <c r="N84" s="55"/>
      <c r="O84" s="55"/>
      <c r="P84" s="55"/>
      <c r="Q84" s="55"/>
      <c r="R84" s="55"/>
      <c r="S84" s="55"/>
      <c r="T84" s="55"/>
      <c r="U84" s="55"/>
      <c r="V84" s="55"/>
      <c r="W84" s="55"/>
      <c r="X84" s="55"/>
      <c r="Y84" s="55"/>
      <c r="Z84" s="55"/>
      <c r="AA84" s="55"/>
    </row>
    <row r="85" spans="1:28" s="33" customFormat="1" x14ac:dyDescent="0.25">
      <c r="A85" s="33" t="s">
        <v>108</v>
      </c>
      <c r="B85" s="46"/>
      <c r="C85" s="46"/>
      <c r="D85" s="63">
        <f t="shared" ref="D85:P85" si="15">D75-D83</f>
        <v>20.485000000000014</v>
      </c>
      <c r="E85" s="63">
        <f t="shared" si="15"/>
        <v>20.06599999999986</v>
      </c>
      <c r="F85" s="63">
        <f t="shared" si="15"/>
        <v>29.656999999999925</v>
      </c>
      <c r="G85" s="63">
        <f t="shared" si="15"/>
        <v>28.353000000000009</v>
      </c>
      <c r="H85" s="63">
        <f t="shared" si="15"/>
        <v>8.9399999999999977</v>
      </c>
      <c r="I85" s="63">
        <f t="shared" si="15"/>
        <v>8.592999999999904</v>
      </c>
      <c r="J85" s="141">
        <f t="shared" si="15"/>
        <v>4.9130000000000109</v>
      </c>
      <c r="K85" s="63">
        <f t="shared" si="15"/>
        <v>11.49799999999999</v>
      </c>
      <c r="L85" s="63">
        <f t="shared" si="15"/>
        <v>3.8029999999999404</v>
      </c>
      <c r="M85" s="63">
        <f t="shared" si="15"/>
        <v>-3.3590000000000373</v>
      </c>
      <c r="N85" s="63">
        <f t="shared" si="15"/>
        <v>-2.5910000000001219</v>
      </c>
      <c r="O85" s="63">
        <f t="shared" si="15"/>
        <v>2.4620000000000459</v>
      </c>
      <c r="P85" s="63">
        <f t="shared" si="15"/>
        <v>-0.60699999999991405</v>
      </c>
      <c r="Q85" s="63"/>
      <c r="R85" s="63">
        <f>R75-R83</f>
        <v>2.0680169310120391</v>
      </c>
      <c r="S85" s="63">
        <f>S75-S83</f>
        <v>2.9987011883200125</v>
      </c>
      <c r="T85" s="63">
        <f>T75-T83</f>
        <v>7.030285020181509</v>
      </c>
      <c r="U85" s="63">
        <f>U75-U83</f>
        <v>4.2438695658309484</v>
      </c>
      <c r="V85" s="63"/>
      <c r="W85" s="63">
        <f>SUM(R85:U85)</f>
        <v>16.340872705344509</v>
      </c>
      <c r="X85" s="63">
        <f>X75-X83</f>
        <v>39.03867868538714</v>
      </c>
      <c r="Y85" s="63">
        <f>Y75-Y83</f>
        <v>62.529428729297706</v>
      </c>
      <c r="Z85" s="63">
        <f>Z75-Z83</f>
        <v>86.724901274525564</v>
      </c>
      <c r="AA85" s="63">
        <f>AA75-AA83</f>
        <v>111.6462379961099</v>
      </c>
      <c r="AB85" s="47"/>
    </row>
    <row r="86" spans="1:28" x14ac:dyDescent="0.25">
      <c r="B86" s="43"/>
      <c r="C86" s="43"/>
      <c r="D86" s="55"/>
      <c r="E86" s="55"/>
      <c r="F86" s="55"/>
      <c r="G86" s="55"/>
      <c r="H86" s="55"/>
      <c r="I86" s="55"/>
      <c r="J86" s="140"/>
      <c r="K86" s="55"/>
      <c r="L86" s="55"/>
      <c r="M86" s="55"/>
      <c r="N86" s="55"/>
      <c r="O86" s="55"/>
      <c r="P86" s="55"/>
      <c r="Q86" s="55"/>
      <c r="R86" s="55"/>
      <c r="S86" s="55"/>
      <c r="T86" s="55"/>
      <c r="U86" s="55"/>
      <c r="V86" s="55"/>
      <c r="W86" s="55"/>
      <c r="X86" s="264"/>
      <c r="Y86" s="55"/>
      <c r="Z86" s="55"/>
      <c r="AA86" s="55"/>
    </row>
    <row r="87" spans="1:28" x14ac:dyDescent="0.25">
      <c r="A87" s="31" t="s">
        <v>109</v>
      </c>
      <c r="B87" s="43"/>
      <c r="C87" s="43"/>
      <c r="D87" s="55">
        <v>-7.36</v>
      </c>
      <c r="E87" s="55">
        <v>-7.2030000000000003</v>
      </c>
      <c r="F87" s="55">
        <v>-6.79</v>
      </c>
      <c r="G87" s="55">
        <v>-6.8920000000000003</v>
      </c>
      <c r="H87" s="55">
        <v>-6.8289999999999997</v>
      </c>
      <c r="I87" s="55">
        <v>-6.649</v>
      </c>
      <c r="J87" s="140">
        <v>-6.3559999999999999</v>
      </c>
      <c r="K87" s="55">
        <v>-7.1529999999999996</v>
      </c>
      <c r="L87" s="55">
        <v>-4.4909999999999997</v>
      </c>
      <c r="M87" s="55">
        <v>-5.1660000000000004</v>
      </c>
      <c r="N87" s="55">
        <v>-6.2990000000000004</v>
      </c>
      <c r="O87" s="55">
        <v>-6.3339999999999996</v>
      </c>
      <c r="P87" s="55">
        <v>-3.0979999999999999</v>
      </c>
      <c r="Q87" s="55"/>
      <c r="R87" s="55">
        <f>-SUM(R467,R475,R489,R496)</f>
        <v>-1.9750000000000001</v>
      </c>
      <c r="S87" s="55">
        <f>-SUM(S467,S475,S489,S496)</f>
        <v>-1.9750000000000001</v>
      </c>
      <c r="T87" s="55">
        <f>-SUM(T467,T475,T489,T496)</f>
        <v>-1.9750000000000001</v>
      </c>
      <c r="U87" s="55">
        <f>-SUM(U467,U475,U489,U496)</f>
        <v>-1.9750000000000001</v>
      </c>
      <c r="V87" s="55"/>
      <c r="W87" s="55">
        <f>SUM(R87:U87)</f>
        <v>-7.9</v>
      </c>
      <c r="X87" s="55">
        <f>-SUM(X467,X475,X489,X496)</f>
        <v>-7.9</v>
      </c>
      <c r="Y87" s="55">
        <f>-SUM(Y467,Y475,Y489,Y496)</f>
        <v>-7.9</v>
      </c>
      <c r="Z87" s="55">
        <f>-SUM(Z467,Z475,Z489,Z496)</f>
        <v>-7.9</v>
      </c>
      <c r="AA87" s="55">
        <f>-SUM(AA467,AA475,AA489,AA496)</f>
        <v>-7.9</v>
      </c>
    </row>
    <row r="88" spans="1:28" x14ac:dyDescent="0.25">
      <c r="A88" s="31" t="s">
        <v>110</v>
      </c>
      <c r="B88" s="43"/>
      <c r="C88" s="43"/>
      <c r="D88" s="62">
        <v>1.3169999999999999</v>
      </c>
      <c r="E88" s="62">
        <v>1.5529999999999999</v>
      </c>
      <c r="F88" s="62">
        <v>0.121</v>
      </c>
      <c r="G88" s="62">
        <f>1.008</f>
        <v>1.008</v>
      </c>
      <c r="H88" s="62">
        <v>0.77</v>
      </c>
      <c r="I88" s="62">
        <v>0.60099999999999998</v>
      </c>
      <c r="J88" s="143">
        <v>-6.2E-2</v>
      </c>
      <c r="K88" s="62">
        <v>0.215</v>
      </c>
      <c r="L88" s="62">
        <f>0.544</f>
        <v>0.54400000000000004</v>
      </c>
      <c r="M88" s="62">
        <v>0.33900000000000002</v>
      </c>
      <c r="N88" s="62">
        <v>0.26100000000000001</v>
      </c>
      <c r="O88" s="62">
        <v>0.80800000000000005</v>
      </c>
      <c r="P88" s="62">
        <v>-0.127</v>
      </c>
      <c r="Q88" s="55"/>
      <c r="R88" s="93">
        <v>0</v>
      </c>
      <c r="S88" s="93">
        <v>0</v>
      </c>
      <c r="T88" s="93">
        <v>0</v>
      </c>
      <c r="U88" s="93">
        <v>0</v>
      </c>
      <c r="V88" s="55"/>
      <c r="W88" s="62">
        <f>SUM(R88:U88)</f>
        <v>0</v>
      </c>
      <c r="X88" s="93">
        <f>$W$88</f>
        <v>0</v>
      </c>
      <c r="Y88" s="93">
        <f t="shared" ref="Y88:AA88" si="16">$W$88</f>
        <v>0</v>
      </c>
      <c r="Z88" s="93">
        <f t="shared" si="16"/>
        <v>0</v>
      </c>
      <c r="AA88" s="93">
        <f t="shared" si="16"/>
        <v>0</v>
      </c>
    </row>
    <row r="89" spans="1:28" s="33" customFormat="1" x14ac:dyDescent="0.25">
      <c r="A89" s="33" t="s">
        <v>125</v>
      </c>
      <c r="B89" s="46"/>
      <c r="C89" s="46"/>
      <c r="D89" s="265">
        <f t="shared" ref="D89:P89" si="17">SUM(D85:D88)</f>
        <v>14.442000000000014</v>
      </c>
      <c r="E89" s="265">
        <f t="shared" si="17"/>
        <v>14.415999999999862</v>
      </c>
      <c r="F89" s="265">
        <f t="shared" si="17"/>
        <v>22.987999999999925</v>
      </c>
      <c r="G89" s="265">
        <f t="shared" si="17"/>
        <v>22.469000000000008</v>
      </c>
      <c r="H89" s="265">
        <f t="shared" si="17"/>
        <v>2.880999999999998</v>
      </c>
      <c r="I89" s="265">
        <f t="shared" si="17"/>
        <v>2.544999999999904</v>
      </c>
      <c r="J89" s="266">
        <f t="shared" si="17"/>
        <v>-1.504999999999989</v>
      </c>
      <c r="K89" s="265">
        <f t="shared" si="17"/>
        <v>4.5599999999999907</v>
      </c>
      <c r="L89" s="265">
        <f t="shared" si="17"/>
        <v>-0.14400000000005919</v>
      </c>
      <c r="M89" s="265">
        <f t="shared" si="17"/>
        <v>-8.1860000000000372</v>
      </c>
      <c r="N89" s="265">
        <f t="shared" si="17"/>
        <v>-8.6290000000001221</v>
      </c>
      <c r="O89" s="265">
        <f t="shared" si="17"/>
        <v>-3.0639999999999539</v>
      </c>
      <c r="P89" s="265">
        <f t="shared" si="17"/>
        <v>-3.8319999999999137</v>
      </c>
      <c r="Q89" s="63"/>
      <c r="R89" s="265">
        <f>SUM(R85:R88)</f>
        <v>9.3016931012039006E-2</v>
      </c>
      <c r="S89" s="265">
        <f>SUM(S85:S88)</f>
        <v>1.0237011883200124</v>
      </c>
      <c r="T89" s="265">
        <f>SUM(T85:T88)</f>
        <v>5.0552850201815094</v>
      </c>
      <c r="U89" s="265">
        <f>SUM(U85:U88)</f>
        <v>2.2688695658309483</v>
      </c>
      <c r="V89" s="63"/>
      <c r="W89" s="265">
        <f>SUM(W85:W88)</f>
        <v>8.4408727053445087</v>
      </c>
      <c r="X89" s="265">
        <f>SUM(X85:X88)</f>
        <v>31.138678685387141</v>
      </c>
      <c r="Y89" s="265">
        <f>SUM(Y85:Y88)</f>
        <v>54.629428729297707</v>
      </c>
      <c r="Z89" s="265">
        <f>SUM(Z85:Z88)</f>
        <v>78.824901274525558</v>
      </c>
      <c r="AA89" s="265">
        <f>SUM(AA85:AA88)</f>
        <v>103.7462379961099</v>
      </c>
    </row>
    <row r="90" spans="1:28" x14ac:dyDescent="0.25">
      <c r="B90" s="43"/>
      <c r="C90" s="43"/>
      <c r="D90" s="71"/>
      <c r="E90" s="71"/>
      <c r="F90" s="71"/>
      <c r="G90" s="71"/>
      <c r="H90" s="71"/>
      <c r="I90" s="71"/>
      <c r="J90" s="267"/>
      <c r="K90" s="71"/>
      <c r="L90" s="71"/>
      <c r="M90" s="71"/>
      <c r="N90" s="71"/>
      <c r="O90" s="71"/>
      <c r="P90" s="71"/>
      <c r="Q90" s="55"/>
      <c r="R90" s="71"/>
      <c r="S90" s="71"/>
      <c r="T90" s="71"/>
      <c r="U90" s="71"/>
      <c r="V90" s="55"/>
      <c r="W90" s="71"/>
      <c r="X90" s="71"/>
      <c r="Y90" s="71"/>
      <c r="Z90" s="71"/>
      <c r="AA90" s="71"/>
    </row>
    <row r="91" spans="1:28" x14ac:dyDescent="0.25">
      <c r="A91" s="31" t="s">
        <v>111</v>
      </c>
      <c r="B91" s="43"/>
      <c r="C91" s="43"/>
      <c r="D91" s="55">
        <v>-5.4409999999999998</v>
      </c>
      <c r="E91" s="55">
        <v>-3.1110000000000002</v>
      </c>
      <c r="F91" s="55">
        <v>-7.42</v>
      </c>
      <c r="G91" s="55">
        <v>-3.8580000000000001</v>
      </c>
      <c r="H91" s="55">
        <v>-1.175</v>
      </c>
      <c r="I91" s="55">
        <v>-1.034</v>
      </c>
      <c r="J91" s="140">
        <v>1.0289999999999999</v>
      </c>
      <c r="K91" s="55">
        <v>-1.1299999999999999</v>
      </c>
      <c r="L91" s="55">
        <f>-0.285</f>
        <v>-0.28499999999999998</v>
      </c>
      <c r="M91" s="55">
        <v>5.101</v>
      </c>
      <c r="N91" s="55">
        <v>0.39400000000000002</v>
      </c>
      <c r="O91" s="55">
        <v>1.6830000000000001</v>
      </c>
      <c r="P91" s="55">
        <v>-5.6120000000000001</v>
      </c>
      <c r="Q91" s="55"/>
      <c r="R91" s="55">
        <f>-R311*R89</f>
        <v>-3.2555925854213651E-2</v>
      </c>
      <c r="S91" s="55">
        <f>-S311*S89</f>
        <v>-0.35829541591200431</v>
      </c>
      <c r="T91" s="55">
        <f>-T311*T89</f>
        <v>-1.7693497570635282</v>
      </c>
      <c r="U91" s="55">
        <f>-U311*U89</f>
        <v>-0.79410434804083185</v>
      </c>
      <c r="V91" s="55"/>
      <c r="W91" s="55">
        <f>SUM(R91:U91)</f>
        <v>-2.9543054468705776</v>
      </c>
      <c r="X91" s="55">
        <f>-X311*X89</f>
        <v>-10.898537539885499</v>
      </c>
      <c r="Y91" s="55">
        <f>-Y311*Y89</f>
        <v>-19.120300055254198</v>
      </c>
      <c r="Z91" s="55">
        <f>-Z311*Z89</f>
        <v>-27.588715446083945</v>
      </c>
      <c r="AA91" s="55">
        <f>-AA311*AA89</f>
        <v>-36.311183298638461</v>
      </c>
    </row>
    <row r="92" spans="1:28" x14ac:dyDescent="0.25">
      <c r="A92" s="82" t="s">
        <v>127</v>
      </c>
      <c r="B92" s="43"/>
      <c r="C92" s="43"/>
      <c r="D92" s="62">
        <v>3.87</v>
      </c>
      <c r="E92" s="62">
        <v>5.0590000000000002</v>
      </c>
      <c r="F92" s="62">
        <v>2.3759999999999999</v>
      </c>
      <c r="G92" s="62">
        <v>3.9209999999999998</v>
      </c>
      <c r="H92" s="62">
        <v>2.625</v>
      </c>
      <c r="I92" s="62">
        <v>0.19</v>
      </c>
      <c r="J92" s="143">
        <v>1.1559999999999999</v>
      </c>
      <c r="K92" s="62">
        <v>0</v>
      </c>
      <c r="L92" s="62">
        <v>1.01</v>
      </c>
      <c r="M92" s="62">
        <v>0.65200000000000002</v>
      </c>
      <c r="N92" s="62">
        <v>0</v>
      </c>
      <c r="O92" s="62">
        <v>-16.385000000000002</v>
      </c>
      <c r="P92" s="62">
        <v>0.39200000000000002</v>
      </c>
      <c r="Q92" s="55"/>
      <c r="R92" s="268">
        <f>R453</f>
        <v>2.300000000000324E-2</v>
      </c>
      <c r="S92" s="62">
        <f>S453</f>
        <v>2.300000000000324E-2</v>
      </c>
      <c r="T92" s="62">
        <f>T453</f>
        <v>2.300000000000324E-2</v>
      </c>
      <c r="U92" s="62">
        <f>U453</f>
        <v>2.300000000000324E-2</v>
      </c>
      <c r="V92" s="55"/>
      <c r="W92" s="62">
        <f>SUM(R92:U92)</f>
        <v>9.200000000001296E-2</v>
      </c>
      <c r="X92" s="62">
        <f>X453</f>
        <v>9.3840000000013218E-2</v>
      </c>
      <c r="Y92" s="62">
        <f>Y453</f>
        <v>9.571680000001348E-2</v>
      </c>
      <c r="Z92" s="62">
        <f>Z453</f>
        <v>9.7631136000013746E-2</v>
      </c>
      <c r="AA92" s="62">
        <f>AA453</f>
        <v>9.9583758720014029E-2</v>
      </c>
    </row>
    <row r="93" spans="1:28" s="33" customFormat="1" x14ac:dyDescent="0.25">
      <c r="A93" s="112" t="s">
        <v>112</v>
      </c>
      <c r="B93" s="46"/>
      <c r="C93" s="46"/>
      <c r="D93" s="63">
        <f t="shared" ref="D93:P93" si="18">SUM(D89:D92)</f>
        <v>12.871000000000016</v>
      </c>
      <c r="E93" s="63">
        <f t="shared" si="18"/>
        <v>16.363999999999862</v>
      </c>
      <c r="F93" s="63">
        <f t="shared" si="18"/>
        <v>17.943999999999924</v>
      </c>
      <c r="G93" s="63">
        <f t="shared" si="18"/>
        <v>22.532000000000007</v>
      </c>
      <c r="H93" s="63">
        <f t="shared" si="18"/>
        <v>4.3309999999999977</v>
      </c>
      <c r="I93" s="63">
        <f t="shared" si="18"/>
        <v>1.7009999999999039</v>
      </c>
      <c r="J93" s="141">
        <f t="shared" si="18"/>
        <v>0.68000000000001082</v>
      </c>
      <c r="K93" s="63">
        <f t="shared" si="18"/>
        <v>3.4299999999999908</v>
      </c>
      <c r="L93" s="63">
        <f t="shared" si="18"/>
        <v>0.5809999999999409</v>
      </c>
      <c r="M93" s="63">
        <f t="shared" si="18"/>
        <v>-2.4330000000000371</v>
      </c>
      <c r="N93" s="63">
        <f t="shared" si="18"/>
        <v>-8.235000000000122</v>
      </c>
      <c r="O93" s="63">
        <f t="shared" si="18"/>
        <v>-17.765999999999956</v>
      </c>
      <c r="P93" s="63">
        <f t="shared" si="18"/>
        <v>-9.0519999999999143</v>
      </c>
      <c r="Q93" s="63"/>
      <c r="R93" s="312">
        <f>SUM(R89:R92)</f>
        <v>8.3461005157828588E-2</v>
      </c>
      <c r="S93" s="63">
        <f>SUM(S89:S92)</f>
        <v>0.68840577240801137</v>
      </c>
      <c r="T93" s="63">
        <f>SUM(T89:T92)</f>
        <v>3.3089352631179842</v>
      </c>
      <c r="U93" s="63">
        <f>SUM(U89:U92)</f>
        <v>1.4977652177901197</v>
      </c>
      <c r="V93" s="63"/>
      <c r="W93" s="63">
        <f>SUM(W89:W92)</f>
        <v>5.5785672584739441</v>
      </c>
      <c r="X93" s="63">
        <f>SUM(X89:X92)</f>
        <v>20.333981145501657</v>
      </c>
      <c r="Y93" s="63">
        <f>SUM(Y89:Y92)</f>
        <v>35.604845474043522</v>
      </c>
      <c r="Z93" s="63">
        <f>SUM(Z89:Z92)</f>
        <v>51.333816964441624</v>
      </c>
      <c r="AA93" s="63">
        <f>SUM(AA89:AA92)</f>
        <v>67.534638456191445</v>
      </c>
    </row>
    <row r="94" spans="1:28" x14ac:dyDescent="0.25">
      <c r="B94" s="43"/>
      <c r="C94" s="43"/>
    </row>
    <row r="95" spans="1:28" s="33" customFormat="1" x14ac:dyDescent="0.25">
      <c r="A95" s="33" t="s">
        <v>114</v>
      </c>
      <c r="B95" s="50"/>
      <c r="C95" s="50"/>
      <c r="D95" s="51">
        <f t="shared" ref="D95:P95" si="19">D93/D97</f>
        <v>0.18849770071175445</v>
      </c>
      <c r="E95" s="51">
        <f t="shared" si="19"/>
        <v>0.23918032068053061</v>
      </c>
      <c r="F95" s="51">
        <f t="shared" si="19"/>
        <v>0.3145145741678777</v>
      </c>
      <c r="G95" s="51">
        <f t="shared" si="19"/>
        <v>0.32863685423412398</v>
      </c>
      <c r="H95" s="51">
        <f t="shared" si="19"/>
        <v>7.5518744551002576E-2</v>
      </c>
      <c r="I95" s="51">
        <f t="shared" si="19"/>
        <v>2.9898230010720193E-2</v>
      </c>
      <c r="J95" s="135">
        <f t="shared" si="19"/>
        <v>1.2035398230088687E-2</v>
      </c>
      <c r="K95" s="51">
        <f t="shared" si="19"/>
        <v>6.0702592690912147E-2</v>
      </c>
      <c r="L95" s="51">
        <f t="shared" si="19"/>
        <v>1.0278637770896788E-2</v>
      </c>
      <c r="M95" s="51">
        <f t="shared" si="19"/>
        <v>-4.3110016478551963E-2</v>
      </c>
      <c r="N95" s="51">
        <f t="shared" si="19"/>
        <v>-0.14582189718980967</v>
      </c>
      <c r="O95" s="51">
        <f t="shared" si="19"/>
        <v>-0.31581754186368893</v>
      </c>
      <c r="P95" s="51">
        <f t="shared" si="19"/>
        <v>-0.16238810254202168</v>
      </c>
      <c r="R95" s="51">
        <f>R93/R97</f>
        <v>1.4778921813579692E-3</v>
      </c>
      <c r="S95" s="51">
        <f>S93/S97</f>
        <v>1.218999827188234E-2</v>
      </c>
      <c r="T95" s="51">
        <f>T93/T97</f>
        <v>5.8593226198678738E-2</v>
      </c>
      <c r="U95" s="51">
        <f>U93/U97</f>
        <v>2.6521793030122708E-2</v>
      </c>
      <c r="W95" s="51">
        <f>W93/W97</f>
        <v>9.8782909682041758E-2</v>
      </c>
      <c r="X95" s="51">
        <f>X93/X97</f>
        <v>0.35650053298933282</v>
      </c>
      <c r="Y95" s="51">
        <f>Y93/Y97</f>
        <v>0.61805268638019506</v>
      </c>
      <c r="Z95" s="51">
        <f>Z93/Z97</f>
        <v>0.88226403770311523</v>
      </c>
      <c r="AA95" s="51">
        <f>AA93/AA97</f>
        <v>1.1492121921653413</v>
      </c>
    </row>
    <row r="96" spans="1:28" x14ac:dyDescent="0.25">
      <c r="B96" s="43"/>
      <c r="C96" s="43"/>
    </row>
    <row r="97" spans="1:28" x14ac:dyDescent="0.25">
      <c r="A97" s="31" t="s">
        <v>113</v>
      </c>
      <c r="B97" s="43"/>
      <c r="C97" s="43"/>
      <c r="D97" s="55">
        <v>68.281999999999996</v>
      </c>
      <c r="E97" s="55">
        <v>68.417000000000002</v>
      </c>
      <c r="F97" s="55">
        <v>57.052999999999997</v>
      </c>
      <c r="G97" s="55">
        <v>68.561999999999998</v>
      </c>
      <c r="H97" s="55">
        <v>57.35</v>
      </c>
      <c r="I97" s="55">
        <v>56.893000000000001</v>
      </c>
      <c r="J97" s="140">
        <v>56.5</v>
      </c>
      <c r="K97" s="55">
        <v>56.505000000000003</v>
      </c>
      <c r="L97" s="55">
        <v>56.524999999999999</v>
      </c>
      <c r="M97" s="55">
        <v>56.436999999999998</v>
      </c>
      <c r="N97" s="55">
        <v>56.472999999999999</v>
      </c>
      <c r="O97" s="55">
        <v>56.253999999999998</v>
      </c>
      <c r="P97" s="55">
        <v>55.743000000000002</v>
      </c>
      <c r="Q97" s="55"/>
      <c r="R97" s="55">
        <f>N97*(1+R312)</f>
        <v>56.472999999999999</v>
      </c>
      <c r="S97" s="55">
        <f>R97*(1+S312)</f>
        <v>56.472999999999999</v>
      </c>
      <c r="T97" s="55">
        <f>S97*(1+T312)</f>
        <v>56.472999999999999</v>
      </c>
      <c r="U97" s="55">
        <f>T97*(1+U312)</f>
        <v>56.472999999999999</v>
      </c>
      <c r="V97" s="55"/>
      <c r="W97" s="55">
        <f>U97</f>
        <v>56.472999999999999</v>
      </c>
      <c r="X97" s="55">
        <f>W97*(1+X312)</f>
        <v>57.037729999999996</v>
      </c>
      <c r="Y97" s="55">
        <f>X97*(1+Y312)</f>
        <v>57.608107299999993</v>
      </c>
      <c r="Z97" s="55">
        <f>Y97*(1+Z312)</f>
        <v>58.184188372999991</v>
      </c>
      <c r="AA97" s="55">
        <f>Z97*(1+AA312)</f>
        <v>58.766030256729991</v>
      </c>
    </row>
    <row r="98" spans="1:28" x14ac:dyDescent="0.25">
      <c r="B98" s="43"/>
      <c r="C98" s="43"/>
      <c r="D98" s="55"/>
      <c r="E98" s="55"/>
      <c r="F98" s="55"/>
      <c r="G98" s="55"/>
      <c r="H98" s="55"/>
      <c r="I98" s="55"/>
      <c r="J98" s="140"/>
      <c r="K98" s="55"/>
      <c r="L98" s="55"/>
      <c r="M98" s="55"/>
      <c r="N98" s="55"/>
      <c r="O98" s="55"/>
      <c r="P98" s="55"/>
      <c r="Q98" s="55"/>
      <c r="R98" s="55"/>
      <c r="S98" s="55"/>
      <c r="T98" s="55"/>
      <c r="U98" s="55"/>
      <c r="V98" s="55"/>
      <c r="W98" s="55"/>
      <c r="X98" s="55"/>
      <c r="Y98" s="55"/>
      <c r="Z98" s="55"/>
      <c r="AA98" s="55"/>
    </row>
    <row r="99" spans="1:28" s="33" customFormat="1" x14ac:dyDescent="0.25">
      <c r="A99" s="33" t="s">
        <v>116</v>
      </c>
      <c r="B99" s="46"/>
      <c r="C99" s="46"/>
      <c r="D99" s="63">
        <f t="shared" ref="D99:P99" si="20">D85+D82</f>
        <v>42.583000000000013</v>
      </c>
      <c r="E99" s="63">
        <f t="shared" si="20"/>
        <v>42.173999999999864</v>
      </c>
      <c r="F99" s="63">
        <f t="shared" si="20"/>
        <v>52.009999999999927</v>
      </c>
      <c r="G99" s="63">
        <f t="shared" si="20"/>
        <v>50.615000000000009</v>
      </c>
      <c r="H99" s="63">
        <f t="shared" si="20"/>
        <v>29.648999999999997</v>
      </c>
      <c r="I99" s="63">
        <f t="shared" si="20"/>
        <v>30.483999999999902</v>
      </c>
      <c r="J99" s="141">
        <f t="shared" si="20"/>
        <v>26.90100000000001</v>
      </c>
      <c r="K99" s="63">
        <f t="shared" si="20"/>
        <v>36.79999999999999</v>
      </c>
      <c r="L99" s="63">
        <f t="shared" si="20"/>
        <v>26.888999999999939</v>
      </c>
      <c r="M99" s="63">
        <f t="shared" si="20"/>
        <v>21.281999999999961</v>
      </c>
      <c r="N99" s="63">
        <f t="shared" si="20"/>
        <v>25.751999999999878</v>
      </c>
      <c r="O99" s="63">
        <f t="shared" si="20"/>
        <v>25.380000000000045</v>
      </c>
      <c r="P99" s="63">
        <f t="shared" si="20"/>
        <v>21.581000000000085</v>
      </c>
      <c r="Q99" s="63"/>
      <c r="R99" s="63">
        <f>R85+R82</f>
        <v>26.282534881116831</v>
      </c>
      <c r="S99" s="63">
        <f>S85+S82</f>
        <v>30.823219923444121</v>
      </c>
      <c r="T99" s="63">
        <f>T85+T82</f>
        <v>29.700166341272368</v>
      </c>
      <c r="U99" s="63">
        <f>U85+U82</f>
        <v>26.341556216400111</v>
      </c>
      <c r="V99" s="63"/>
      <c r="W99" s="63">
        <f>SUM(R99:U99)</f>
        <v>113.14747736223343</v>
      </c>
      <c r="X99" s="63">
        <f>X85+X82</f>
        <v>135.68035473704316</v>
      </c>
      <c r="Y99" s="63">
        <f>Y85+Y82</f>
        <v>159.17110478095373</v>
      </c>
      <c r="Z99" s="63">
        <f>Z85+Z82</f>
        <v>183.36657732618158</v>
      </c>
      <c r="AA99" s="63">
        <f>AA85+AA82</f>
        <v>208.28791404776592</v>
      </c>
    </row>
    <row r="100" spans="1:28" s="33" customFormat="1" x14ac:dyDescent="0.25">
      <c r="B100" s="46"/>
      <c r="C100" s="46"/>
      <c r="D100" s="63"/>
      <c r="E100" s="63"/>
      <c r="F100" s="63"/>
      <c r="G100" s="63"/>
      <c r="H100" s="63"/>
      <c r="I100" s="63"/>
      <c r="J100" s="141"/>
      <c r="K100" s="63"/>
      <c r="L100" s="63"/>
      <c r="M100" s="63"/>
      <c r="N100" s="63"/>
      <c r="O100" s="63"/>
      <c r="P100" s="63"/>
      <c r="Q100" s="63"/>
      <c r="R100" s="63"/>
      <c r="S100" s="63"/>
      <c r="T100" s="63"/>
      <c r="U100" s="63"/>
      <c r="V100" s="63"/>
      <c r="W100" s="63"/>
      <c r="X100" s="63"/>
      <c r="Y100" s="63"/>
      <c r="Z100" s="63"/>
      <c r="AA100" s="63"/>
    </row>
    <row r="101" spans="1:28" x14ac:dyDescent="0.25">
      <c r="A101" s="31" t="s">
        <v>118</v>
      </c>
      <c r="B101" s="43"/>
      <c r="C101" s="43"/>
      <c r="D101" s="62"/>
      <c r="E101" s="62">
        <v>43.726999999999997</v>
      </c>
      <c r="F101" s="62">
        <v>52.131</v>
      </c>
      <c r="G101" s="62">
        <v>51.624000000000002</v>
      </c>
      <c r="H101" s="62">
        <v>30.149000000000001</v>
      </c>
      <c r="I101" s="62">
        <v>31.085000000000001</v>
      </c>
      <c r="J101" s="143">
        <v>26.838999999999999</v>
      </c>
      <c r="K101" s="62">
        <v>37.015000000000001</v>
      </c>
      <c r="L101" s="62">
        <v>27.433</v>
      </c>
      <c r="M101" s="62">
        <v>21.620999999999999</v>
      </c>
      <c r="N101" s="268">
        <v>26.013000000000002</v>
      </c>
      <c r="O101" s="268">
        <v>25.9</v>
      </c>
      <c r="P101" s="268">
        <v>22.1</v>
      </c>
      <c r="Q101" s="55"/>
      <c r="R101" s="55"/>
      <c r="S101" s="55"/>
      <c r="T101" s="55"/>
      <c r="U101" s="55"/>
      <c r="V101" s="71"/>
      <c r="W101" s="269"/>
      <c r="X101" s="269"/>
      <c r="Y101" s="269"/>
      <c r="Z101" s="269"/>
      <c r="AA101" s="269"/>
      <c r="AB101" s="43"/>
    </row>
    <row r="102" spans="1:28" x14ac:dyDescent="0.25">
      <c r="A102" s="31" t="s">
        <v>117</v>
      </c>
      <c r="B102" s="43"/>
      <c r="C102" s="43"/>
      <c r="D102" s="55"/>
      <c r="E102" s="55">
        <f t="shared" ref="E102:P102" si="21">E99-E101</f>
        <v>-1.5530000000001323</v>
      </c>
      <c r="F102" s="55">
        <f t="shared" si="21"/>
        <v>-0.12100000000007327</v>
      </c>
      <c r="G102" s="55">
        <f t="shared" si="21"/>
        <v>-1.0089999999999932</v>
      </c>
      <c r="H102" s="55">
        <f t="shared" si="21"/>
        <v>-0.50000000000000355</v>
      </c>
      <c r="I102" s="55">
        <f t="shared" si="21"/>
        <v>-0.60100000000009857</v>
      </c>
      <c r="J102" s="140">
        <f t="shared" si="21"/>
        <v>6.2000000000011823E-2</v>
      </c>
      <c r="K102" s="55">
        <f t="shared" si="21"/>
        <v>-0.21500000000001052</v>
      </c>
      <c r="L102" s="55">
        <f t="shared" si="21"/>
        <v>-0.54400000000006088</v>
      </c>
      <c r="M102" s="55">
        <f t="shared" si="21"/>
        <v>-0.33900000000003772</v>
      </c>
      <c r="N102" s="55">
        <f t="shared" si="21"/>
        <v>-0.26100000000012358</v>
      </c>
      <c r="O102" s="55">
        <f t="shared" si="21"/>
        <v>-0.51999999999995339</v>
      </c>
      <c r="P102" s="55">
        <f t="shared" si="21"/>
        <v>-0.51899999999991664</v>
      </c>
      <c r="Q102" s="55"/>
      <c r="R102" s="55"/>
      <c r="S102" s="55"/>
      <c r="T102" s="55"/>
      <c r="U102" s="55"/>
      <c r="V102" s="71"/>
      <c r="W102" s="71"/>
      <c r="X102" s="71"/>
      <c r="Y102" s="71"/>
      <c r="Z102" s="71"/>
      <c r="AA102" s="71"/>
      <c r="AB102" s="43"/>
    </row>
    <row r="103" spans="1:28" collapsed="1" x14ac:dyDescent="0.25">
      <c r="V103" s="43"/>
      <c r="W103" s="43"/>
      <c r="X103" s="43"/>
      <c r="Y103" s="43"/>
      <c r="Z103" s="43"/>
      <c r="AA103" s="43"/>
      <c r="AB103" s="43"/>
    </row>
    <row r="104" spans="1:28" x14ac:dyDescent="0.25">
      <c r="A104" s="39" t="s">
        <v>8744</v>
      </c>
      <c r="B104" s="40"/>
      <c r="C104" s="40"/>
      <c r="D104" s="40"/>
      <c r="E104" s="40"/>
      <c r="F104" s="40"/>
      <c r="G104" s="40"/>
      <c r="H104" s="40"/>
      <c r="I104" s="40"/>
      <c r="J104" s="40"/>
      <c r="K104" s="40"/>
      <c r="L104" s="40"/>
      <c r="M104" s="40"/>
      <c r="N104" s="40"/>
      <c r="O104" s="40"/>
      <c r="P104" s="40"/>
      <c r="Q104" s="41"/>
      <c r="R104" s="41"/>
      <c r="S104" s="41"/>
      <c r="T104" s="41"/>
      <c r="U104" s="41"/>
      <c r="V104" s="41"/>
      <c r="W104" s="41"/>
      <c r="X104" s="41"/>
      <c r="Y104" s="41"/>
      <c r="Z104" s="41"/>
      <c r="AA104" s="42"/>
      <c r="AB104" s="43"/>
    </row>
    <row r="105" spans="1:28" x14ac:dyDescent="0.25">
      <c r="AB105" s="43"/>
    </row>
    <row r="106" spans="1:28" x14ac:dyDescent="0.25">
      <c r="A106" s="26" t="s">
        <v>146</v>
      </c>
      <c r="AB106" s="43"/>
    </row>
    <row r="107" spans="1:28" x14ac:dyDescent="0.25">
      <c r="A107" s="15"/>
      <c r="AB107" s="43"/>
    </row>
    <row r="108" spans="1:28" x14ac:dyDescent="0.25">
      <c r="A108" s="15" t="s">
        <v>147</v>
      </c>
      <c r="AB108" s="43"/>
    </row>
    <row r="109" spans="1:28" x14ac:dyDescent="0.25">
      <c r="A109" s="70" t="s">
        <v>148</v>
      </c>
      <c r="G109" s="53">
        <v>111.943</v>
      </c>
      <c r="H109" s="53">
        <v>222.458</v>
      </c>
      <c r="I109" s="53">
        <v>218.34299999999999</v>
      </c>
      <c r="J109" s="53">
        <v>180.309</v>
      </c>
      <c r="K109" s="53">
        <v>200.488</v>
      </c>
      <c r="L109" s="53">
        <v>203.68600000000001</v>
      </c>
      <c r="M109" s="53">
        <v>339.41800000000001</v>
      </c>
      <c r="N109" s="53">
        <v>360.8</v>
      </c>
      <c r="O109" s="53">
        <v>378.62700000000001</v>
      </c>
      <c r="P109" s="53">
        <v>186.25700000000001</v>
      </c>
      <c r="Q109" s="83"/>
      <c r="R109" s="122">
        <f>R33</f>
        <v>172.03798069829156</v>
      </c>
      <c r="S109" s="122">
        <f>S31</f>
        <v>189.10206979394266</v>
      </c>
      <c r="T109" s="122">
        <f>T31</f>
        <v>212.48818618196424</v>
      </c>
      <c r="U109" s="122">
        <f>U31</f>
        <v>221.89442001497522</v>
      </c>
      <c r="V109" s="260"/>
      <c r="W109" s="122">
        <f>W33</f>
        <v>221.8944200149752</v>
      </c>
      <c r="X109" s="122">
        <f>X31</f>
        <v>285.73726660378475</v>
      </c>
      <c r="Y109" s="122">
        <f>Y31</f>
        <v>363.53283689993395</v>
      </c>
      <c r="Z109" s="122">
        <f>Z31</f>
        <v>456.30072862515681</v>
      </c>
      <c r="AA109" s="122">
        <f>AA31</f>
        <v>564.50325024193876</v>
      </c>
      <c r="AB109" s="43"/>
    </row>
    <row r="110" spans="1:28" x14ac:dyDescent="0.25">
      <c r="A110" s="64" t="s">
        <v>149</v>
      </c>
      <c r="G110" s="53">
        <v>28.954000000000001</v>
      </c>
      <c r="H110" s="53">
        <v>32.423999999999999</v>
      </c>
      <c r="I110" s="53">
        <v>24.597000000000001</v>
      </c>
      <c r="J110" s="53">
        <v>32.734000000000002</v>
      </c>
      <c r="K110" s="53">
        <v>33.061999999999998</v>
      </c>
      <c r="L110" s="53">
        <v>20.277999999999999</v>
      </c>
      <c r="M110" s="53">
        <v>24.584</v>
      </c>
      <c r="N110" s="53">
        <v>24.312000000000001</v>
      </c>
      <c r="O110" s="53">
        <v>25.808</v>
      </c>
      <c r="P110" s="53">
        <v>22.085000000000001</v>
      </c>
      <c r="Q110" s="83"/>
      <c r="R110" s="122">
        <f>(R319*SUM(R72:R73))/(365/4)</f>
        <v>22.616717872754879</v>
      </c>
      <c r="S110" s="55">
        <f>(S319*SUM(S72:S73))/(365/4)</f>
        <v>24.648717717102642</v>
      </c>
      <c r="T110" s="55">
        <f>(T319*SUM(T72:T73))/(365/4)</f>
        <v>25.49760579340424</v>
      </c>
      <c r="U110" s="55">
        <f>(U319*SUM(U72:U73))/(365/4)</f>
        <v>24.552085052881232</v>
      </c>
      <c r="V110" s="71"/>
      <c r="W110" s="55">
        <f>U110</f>
        <v>24.552085052881232</v>
      </c>
      <c r="X110" s="55">
        <f>(X319*SUM(X72:X73))/365</f>
        <v>25.003776491388539</v>
      </c>
      <c r="Y110" s="55">
        <f>(Y319*SUM(Y72:Y73))/365</f>
        <v>25.753889786130198</v>
      </c>
      <c r="Z110" s="55">
        <f>(Z319*SUM(Z72:Z73))/365</f>
        <v>26.526506479714108</v>
      </c>
      <c r="AA110" s="55">
        <f>(AA319*SUM(AA72:AA73))/365</f>
        <v>27.322301674105525</v>
      </c>
      <c r="AB110" s="43"/>
    </row>
    <row r="111" spans="1:28" x14ac:dyDescent="0.25">
      <c r="A111" s="64" t="s">
        <v>150</v>
      </c>
      <c r="G111" s="53">
        <v>142.27600000000001</v>
      </c>
      <c r="H111" s="53">
        <v>155.99</v>
      </c>
      <c r="I111" s="53">
        <v>153.864</v>
      </c>
      <c r="J111" s="53">
        <v>148.49299999999999</v>
      </c>
      <c r="K111" s="53">
        <v>139.607</v>
      </c>
      <c r="L111" s="53">
        <v>149.22399999999999</v>
      </c>
      <c r="M111" s="53">
        <v>147.18799999999999</v>
      </c>
      <c r="N111" s="53">
        <v>143.74199999999999</v>
      </c>
      <c r="O111" s="53">
        <v>137.15100000000001</v>
      </c>
      <c r="P111" s="53">
        <v>143.328</v>
      </c>
      <c r="Q111" s="83"/>
      <c r="R111" s="122">
        <f>R320*R602/1000000</f>
        <v>146.03747525863085</v>
      </c>
      <c r="S111" s="55">
        <f>S320*S602/1000000</f>
        <v>146.58206199216482</v>
      </c>
      <c r="T111" s="55">
        <f>T320*T602/1000000</f>
        <v>147.12867953806267</v>
      </c>
      <c r="U111" s="55">
        <f>U320*U602/1000000</f>
        <v>147.67733546940428</v>
      </c>
      <c r="V111" s="71"/>
      <c r="W111" s="55">
        <f>W320*W602/1000000</f>
        <v>147.67733546940428</v>
      </c>
      <c r="X111" s="55">
        <f>X320*X602/1000000</f>
        <v>149.89249550144532</v>
      </c>
      <c r="Y111" s="55">
        <f>Y320*Y602/1000000</f>
        <v>152.14088293396699</v>
      </c>
      <c r="Z111" s="55">
        <f>Z320*Z602/1000000</f>
        <v>154.4229961779765</v>
      </c>
      <c r="AA111" s="55">
        <f>AA320*AA602/1000000</f>
        <v>156.73934112064609</v>
      </c>
      <c r="AB111" s="43"/>
    </row>
    <row r="112" spans="1:28" x14ac:dyDescent="0.25">
      <c r="A112" s="64" t="s">
        <v>151</v>
      </c>
      <c r="G112" s="53">
        <v>14.503</v>
      </c>
      <c r="H112" s="53">
        <v>14.52</v>
      </c>
      <c r="I112" s="53">
        <v>17.988</v>
      </c>
      <c r="J112" s="53">
        <v>18.050999999999998</v>
      </c>
      <c r="K112" s="53">
        <v>24.145</v>
      </c>
      <c r="L112" s="53">
        <v>21.123999999999999</v>
      </c>
      <c r="M112" s="53">
        <v>0.38100000000000001</v>
      </c>
      <c r="N112" s="53">
        <v>0.38800000000000001</v>
      </c>
      <c r="O112" s="53">
        <v>0.13300000000000001</v>
      </c>
      <c r="P112" s="53">
        <v>0</v>
      </c>
      <c r="Q112" s="83"/>
      <c r="R112" s="345">
        <f>P112</f>
        <v>0</v>
      </c>
      <c r="S112" s="344">
        <f>R112</f>
        <v>0</v>
      </c>
      <c r="T112" s="344">
        <f t="shared" ref="T112:U113" si="22">S112</f>
        <v>0</v>
      </c>
      <c r="U112" s="344">
        <f t="shared" si="22"/>
        <v>0</v>
      </c>
      <c r="V112" s="349"/>
      <c r="W112" s="140">
        <f>U112</f>
        <v>0</v>
      </c>
      <c r="X112" s="344">
        <f>W112</f>
        <v>0</v>
      </c>
      <c r="Y112" s="344">
        <f t="shared" ref="Y112:AA113" si="23">X112</f>
        <v>0</v>
      </c>
      <c r="Z112" s="344">
        <f t="shared" si="23"/>
        <v>0</v>
      </c>
      <c r="AA112" s="344">
        <f t="shared" si="23"/>
        <v>0</v>
      </c>
      <c r="AB112" s="43"/>
    </row>
    <row r="113" spans="1:28" x14ac:dyDescent="0.25">
      <c r="A113" s="64" t="s">
        <v>152</v>
      </c>
      <c r="G113" s="53">
        <v>14.098000000000001</v>
      </c>
      <c r="H113" s="53">
        <v>14.175000000000001</v>
      </c>
      <c r="I113" s="53">
        <v>13.864000000000001</v>
      </c>
      <c r="J113" s="53">
        <v>19.198</v>
      </c>
      <c r="K113" s="53">
        <v>33.345999999999997</v>
      </c>
      <c r="L113" s="53">
        <v>34.354999999999997</v>
      </c>
      <c r="M113" s="53">
        <v>19.768000000000001</v>
      </c>
      <c r="N113" s="53">
        <v>19.113</v>
      </c>
      <c r="O113" s="53">
        <v>6.4610000000000003</v>
      </c>
      <c r="P113" s="53">
        <v>0</v>
      </c>
      <c r="Q113" s="83"/>
      <c r="R113" s="345">
        <f>P113</f>
        <v>0</v>
      </c>
      <c r="S113" s="344">
        <f>R113</f>
        <v>0</v>
      </c>
      <c r="T113" s="344">
        <f t="shared" si="22"/>
        <v>0</v>
      </c>
      <c r="U113" s="344">
        <f t="shared" si="22"/>
        <v>0</v>
      </c>
      <c r="V113" s="349"/>
      <c r="W113" s="140">
        <f>U113</f>
        <v>0</v>
      </c>
      <c r="X113" s="344">
        <f>W113</f>
        <v>0</v>
      </c>
      <c r="Y113" s="344">
        <f t="shared" si="23"/>
        <v>0</v>
      </c>
      <c r="Z113" s="344">
        <f t="shared" si="23"/>
        <v>0</v>
      </c>
      <c r="AA113" s="344">
        <f t="shared" si="23"/>
        <v>0</v>
      </c>
      <c r="AB113" s="43"/>
    </row>
    <row r="114" spans="1:28" x14ac:dyDescent="0.25">
      <c r="A114" s="64" t="s">
        <v>153</v>
      </c>
      <c r="G114" s="53">
        <v>55.902999999999999</v>
      </c>
      <c r="H114" s="53">
        <v>24.233000000000001</v>
      </c>
      <c r="I114" s="53">
        <v>21.486000000000001</v>
      </c>
      <c r="J114" s="53">
        <v>47.939</v>
      </c>
      <c r="K114" s="53">
        <v>57.898000000000003</v>
      </c>
      <c r="L114" s="53">
        <v>57.51</v>
      </c>
      <c r="M114" s="53">
        <v>57.189</v>
      </c>
      <c r="N114" s="53">
        <v>55.972999999999999</v>
      </c>
      <c r="O114" s="53">
        <v>65.085999999999999</v>
      </c>
      <c r="P114" s="53">
        <v>69.989999999999995</v>
      </c>
      <c r="Q114" s="83"/>
      <c r="R114" s="122">
        <f>R325</f>
        <v>65.085999999999999</v>
      </c>
      <c r="S114" s="55">
        <f>S325</f>
        <v>65.085999999999999</v>
      </c>
      <c r="T114" s="55">
        <f>T325</f>
        <v>65.085999999999999</v>
      </c>
      <c r="U114" s="55">
        <f>U325</f>
        <v>65.085999999999999</v>
      </c>
      <c r="V114" s="71"/>
      <c r="W114" s="55">
        <f>W325</f>
        <v>65.085999999999999</v>
      </c>
      <c r="X114" s="55">
        <f>X325</f>
        <v>65.085999999999999</v>
      </c>
      <c r="Y114" s="55">
        <f>Y325</f>
        <v>65.085999999999999</v>
      </c>
      <c r="Z114" s="55">
        <f>Z325</f>
        <v>65.085999999999999</v>
      </c>
      <c r="AA114" s="55">
        <f>AA325</f>
        <v>65.085999999999999</v>
      </c>
      <c r="AB114" s="43"/>
    </row>
    <row r="115" spans="1:28" x14ac:dyDescent="0.25">
      <c r="A115" s="64" t="s">
        <v>154</v>
      </c>
      <c r="G115" s="57">
        <v>17</v>
      </c>
      <c r="H115" s="57">
        <v>17.202000000000002</v>
      </c>
      <c r="I115" s="57">
        <v>16.815999999999999</v>
      </c>
      <c r="J115" s="57">
        <v>17.222000000000001</v>
      </c>
      <c r="K115" s="57">
        <v>0</v>
      </c>
      <c r="L115" s="57">
        <v>0</v>
      </c>
      <c r="M115" s="57">
        <v>0</v>
      </c>
      <c r="N115" s="57">
        <v>0</v>
      </c>
      <c r="O115" s="57">
        <v>0</v>
      </c>
      <c r="P115" s="57">
        <v>0</v>
      </c>
      <c r="Q115" s="83"/>
      <c r="R115" s="359">
        <v>0</v>
      </c>
      <c r="S115" s="346">
        <v>0</v>
      </c>
      <c r="T115" s="346">
        <v>0</v>
      </c>
      <c r="U115" s="346">
        <v>0</v>
      </c>
      <c r="V115" s="55"/>
      <c r="W115" s="62">
        <f>U115</f>
        <v>0</v>
      </c>
      <c r="X115" s="346">
        <v>0</v>
      </c>
      <c r="Y115" s="346">
        <v>0</v>
      </c>
      <c r="Z115" s="346">
        <v>0</v>
      </c>
      <c r="AA115" s="346">
        <v>0</v>
      </c>
      <c r="AB115" s="43"/>
    </row>
    <row r="116" spans="1:28" x14ac:dyDescent="0.25">
      <c r="A116" s="9" t="s">
        <v>155</v>
      </c>
      <c r="G116" s="11">
        <f t="shared" ref="G116:AA116" si="24">SUM(G109:G115)</f>
        <v>384.67700000000002</v>
      </c>
      <c r="H116" s="11">
        <f t="shared" si="24"/>
        <v>481.00200000000001</v>
      </c>
      <c r="I116" s="11">
        <f t="shared" si="24"/>
        <v>466.95799999999991</v>
      </c>
      <c r="J116" s="92">
        <f t="shared" si="24"/>
        <v>463.94599999999997</v>
      </c>
      <c r="K116" s="11">
        <f t="shared" si="24"/>
        <v>488.54600000000005</v>
      </c>
      <c r="L116" s="11">
        <f t="shared" si="24"/>
        <v>486.17700000000002</v>
      </c>
      <c r="M116" s="11">
        <f t="shared" si="24"/>
        <v>588.52799999999991</v>
      </c>
      <c r="N116" s="11">
        <f t="shared" si="24"/>
        <v>604.32799999999997</v>
      </c>
      <c r="O116" s="11">
        <f t="shared" si="24"/>
        <v>613.26600000000008</v>
      </c>
      <c r="P116" s="11">
        <f t="shared" si="24"/>
        <v>421.66</v>
      </c>
      <c r="Q116" s="83"/>
      <c r="R116" s="309">
        <f t="shared" si="24"/>
        <v>405.77817382967731</v>
      </c>
      <c r="S116" s="309">
        <f t="shared" si="24"/>
        <v>425.41884950321014</v>
      </c>
      <c r="T116" s="309">
        <f t="shared" si="24"/>
        <v>450.20047151343113</v>
      </c>
      <c r="U116" s="309">
        <f t="shared" si="24"/>
        <v>459.20984053726079</v>
      </c>
      <c r="V116" s="310"/>
      <c r="W116" s="11">
        <f t="shared" si="24"/>
        <v>459.20984053726073</v>
      </c>
      <c r="X116" s="11">
        <f t="shared" si="24"/>
        <v>525.71953859661858</v>
      </c>
      <c r="Y116" s="11">
        <f t="shared" si="24"/>
        <v>606.51360962003116</v>
      </c>
      <c r="Z116" s="11">
        <f t="shared" si="24"/>
        <v>702.33623128284739</v>
      </c>
      <c r="AA116" s="11">
        <f t="shared" si="24"/>
        <v>813.65089303669038</v>
      </c>
      <c r="AB116" s="43"/>
    </row>
    <row r="117" spans="1:28" x14ac:dyDescent="0.25">
      <c r="A117" s="15"/>
      <c r="G117" s="53"/>
      <c r="H117" s="53"/>
      <c r="I117" s="53"/>
      <c r="J117" s="53"/>
      <c r="K117" s="53"/>
      <c r="L117" s="53"/>
      <c r="M117" s="53"/>
      <c r="N117" s="53"/>
      <c r="O117" s="53"/>
      <c r="P117" s="53"/>
      <c r="R117" s="55"/>
      <c r="S117" s="55"/>
      <c r="T117" s="55"/>
      <c r="U117" s="55"/>
      <c r="V117" s="71"/>
      <c r="W117" s="55"/>
      <c r="X117" s="55"/>
      <c r="Y117" s="55"/>
      <c r="Z117" s="55"/>
      <c r="AA117" s="55"/>
      <c r="AB117" s="43"/>
    </row>
    <row r="118" spans="1:28" x14ac:dyDescent="0.25">
      <c r="A118" s="272" t="s">
        <v>156</v>
      </c>
      <c r="G118" s="53">
        <v>305.79899999999998</v>
      </c>
      <c r="H118" s="53">
        <v>303.14999999999998</v>
      </c>
      <c r="I118" s="53">
        <v>302.75599999999997</v>
      </c>
      <c r="J118" s="53">
        <v>307.29500000000002</v>
      </c>
      <c r="K118" s="53">
        <v>313.45999999999998</v>
      </c>
      <c r="L118" s="53">
        <v>302.39999999999998</v>
      </c>
      <c r="M118" s="53">
        <v>290.37799999999999</v>
      </c>
      <c r="N118" s="53">
        <v>273.16800000000001</v>
      </c>
      <c r="O118" s="53">
        <v>266.53800000000001</v>
      </c>
      <c r="P118" s="53">
        <v>253.072</v>
      </c>
      <c r="Q118" s="83"/>
      <c r="R118" s="122">
        <f>R339</f>
        <v>257.14570471096874</v>
      </c>
      <c r="S118" s="55">
        <f>S339</f>
        <v>243.34901758480117</v>
      </c>
      <c r="T118" s="55">
        <f>T339</f>
        <v>234.75768098973555</v>
      </c>
      <c r="U118" s="55">
        <f>U339</f>
        <v>226.78944129598361</v>
      </c>
      <c r="V118" s="55"/>
      <c r="W118" s="55">
        <f>W339</f>
        <v>226.78944129598361</v>
      </c>
      <c r="X118" s="55">
        <f>X339</f>
        <v>187.16738239205927</v>
      </c>
      <c r="Y118" s="55">
        <f>Y339</f>
        <v>148.31207274535095</v>
      </c>
      <c r="Z118" s="55">
        <f>Z339</f>
        <v>110.24795859471698</v>
      </c>
      <c r="AA118" s="55">
        <f>AA339</f>
        <v>73.026672872598198</v>
      </c>
      <c r="AB118" s="43"/>
    </row>
    <row r="119" spans="1:28" x14ac:dyDescent="0.25">
      <c r="A119" s="59" t="s">
        <v>157</v>
      </c>
      <c r="G119" s="53">
        <v>462.279</v>
      </c>
      <c r="H119" s="53">
        <v>463.91699999999997</v>
      </c>
      <c r="I119" s="53">
        <v>463.47</v>
      </c>
      <c r="J119" s="53">
        <v>462.33300000000003</v>
      </c>
      <c r="K119" s="53">
        <v>460.88499999999999</v>
      </c>
      <c r="L119" s="53">
        <v>461.74</v>
      </c>
      <c r="M119" s="53">
        <v>425.33199999999999</v>
      </c>
      <c r="N119" s="53">
        <v>423.70400000000001</v>
      </c>
      <c r="O119" s="53">
        <v>425.26400000000001</v>
      </c>
      <c r="P119" s="53">
        <v>423.27800000000002</v>
      </c>
      <c r="Q119" s="83"/>
      <c r="R119" s="122">
        <f>R402+R388-R411</f>
        <v>423.30400000000003</v>
      </c>
      <c r="S119" s="55">
        <f>S402+S388-S411</f>
        <v>423.30400000000003</v>
      </c>
      <c r="T119" s="55">
        <f>T402+T388-T411</f>
        <v>423.30400000000003</v>
      </c>
      <c r="U119" s="55">
        <f>U402+U388-U411</f>
        <v>423.30400000000003</v>
      </c>
      <c r="V119" s="55"/>
      <c r="W119" s="55">
        <f>W402+W388-W411</f>
        <v>423.30400000000003</v>
      </c>
      <c r="X119" s="55">
        <f>X402+X388-X411</f>
        <v>423.30400000000003</v>
      </c>
      <c r="Y119" s="55">
        <f>Y402+Y388-Y411</f>
        <v>423.30400000000003</v>
      </c>
      <c r="Z119" s="55">
        <f>Z402+Z388-Z411</f>
        <v>423.30400000000003</v>
      </c>
      <c r="AA119" s="55">
        <f>AA402+AA388-AA411</f>
        <v>423.30400000000003</v>
      </c>
      <c r="AB119" s="43"/>
    </row>
    <row r="120" spans="1:28" x14ac:dyDescent="0.25">
      <c r="A120" s="59" t="s">
        <v>158</v>
      </c>
      <c r="G120" s="53">
        <v>23.395</v>
      </c>
      <c r="H120" s="53">
        <v>23.375</v>
      </c>
      <c r="I120" s="53">
        <v>22.893000000000001</v>
      </c>
      <c r="J120" s="53">
        <v>22.154</v>
      </c>
      <c r="K120" s="53">
        <v>21.495999999999999</v>
      </c>
      <c r="L120" s="53">
        <v>21.286999999999999</v>
      </c>
      <c r="M120" s="53">
        <v>20.641999999999999</v>
      </c>
      <c r="N120" s="53">
        <v>19.959</v>
      </c>
      <c r="O120" s="53">
        <v>19.812000000000001</v>
      </c>
      <c r="P120" s="53">
        <v>19.004000000000001</v>
      </c>
      <c r="Q120" s="83"/>
      <c r="R120" s="122">
        <f>R419</f>
        <v>18.575499999999995</v>
      </c>
      <c r="S120" s="55">
        <f>S419</f>
        <v>18.146999999999995</v>
      </c>
      <c r="T120" s="55">
        <f>T419</f>
        <v>17.718499999999995</v>
      </c>
      <c r="U120" s="55">
        <f>U419</f>
        <v>17.289999999999996</v>
      </c>
      <c r="V120" s="55"/>
      <c r="W120" s="55">
        <f>W419</f>
        <v>17.289999999999996</v>
      </c>
      <c r="X120" s="55">
        <f>X419</f>
        <v>15.586999999999996</v>
      </c>
      <c r="Y120" s="55">
        <f>Y419</f>
        <v>13.946999999999996</v>
      </c>
      <c r="Z120" s="55">
        <f>Z419</f>
        <v>12.357999999999997</v>
      </c>
      <c r="AA120" s="55">
        <f>AA419</f>
        <v>10.780999999999999</v>
      </c>
      <c r="AB120" s="43"/>
    </row>
    <row r="121" spans="1:28" x14ac:dyDescent="0.25">
      <c r="A121" s="59" t="s">
        <v>159</v>
      </c>
      <c r="G121" s="53">
        <v>160.98699999999999</v>
      </c>
      <c r="H121" s="53">
        <v>59.91</v>
      </c>
      <c r="I121" s="53">
        <v>42.17</v>
      </c>
      <c r="J121" s="53">
        <v>43.308</v>
      </c>
      <c r="K121" s="53">
        <v>43.319000000000003</v>
      </c>
      <c r="L121" s="53">
        <v>44.331000000000003</v>
      </c>
      <c r="M121" s="53">
        <v>44.966999999999999</v>
      </c>
      <c r="N121" s="53">
        <v>44.994999999999997</v>
      </c>
      <c r="O121" s="53">
        <v>28.611000000000001</v>
      </c>
      <c r="P121" s="53">
        <v>29.338999999999999</v>
      </c>
      <c r="Q121" s="83"/>
      <c r="R121" s="122">
        <f>R451</f>
        <v>28.835000000000004</v>
      </c>
      <c r="S121" s="55">
        <f>S451</f>
        <v>28.858000000000008</v>
      </c>
      <c r="T121" s="55">
        <f>T451</f>
        <v>28.881000000000011</v>
      </c>
      <c r="U121" s="55">
        <f>U451</f>
        <v>28.904000000000014</v>
      </c>
      <c r="V121" s="55"/>
      <c r="W121" s="55">
        <f>W451</f>
        <v>28.904000000000014</v>
      </c>
      <c r="X121" s="55">
        <f>X451</f>
        <v>28.997840000000028</v>
      </c>
      <c r="Y121" s="55">
        <f>Y451</f>
        <v>29.093556800000041</v>
      </c>
      <c r="Z121" s="55">
        <f>Z451</f>
        <v>29.191187936000055</v>
      </c>
      <c r="AA121" s="55">
        <f>AA451</f>
        <v>29.290771694720071</v>
      </c>
      <c r="AB121" s="43"/>
    </row>
    <row r="122" spans="1:28" x14ac:dyDescent="0.25">
      <c r="A122" s="59" t="s">
        <v>160</v>
      </c>
      <c r="G122" s="53">
        <v>59.488</v>
      </c>
      <c r="H122" s="53">
        <v>60.823999999999998</v>
      </c>
      <c r="I122" s="53">
        <v>62.697000000000003</v>
      </c>
      <c r="J122" s="53">
        <v>61.747</v>
      </c>
      <c r="K122" s="53">
        <v>62.786000000000001</v>
      </c>
      <c r="L122" s="53">
        <v>64.346999999999994</v>
      </c>
      <c r="M122" s="53">
        <v>64.218999999999994</v>
      </c>
      <c r="N122" s="53">
        <v>61.185000000000002</v>
      </c>
      <c r="O122" s="53">
        <v>62.457999999999998</v>
      </c>
      <c r="P122" s="53">
        <v>63.575000000000003</v>
      </c>
      <c r="Q122" s="83"/>
      <c r="R122" s="345">
        <f>P122</f>
        <v>63.575000000000003</v>
      </c>
      <c r="S122" s="345">
        <f>R122</f>
        <v>63.575000000000003</v>
      </c>
      <c r="T122" s="345">
        <f t="shared" ref="T122:U122" si="25">S122</f>
        <v>63.575000000000003</v>
      </c>
      <c r="U122" s="345">
        <f t="shared" si="25"/>
        <v>63.575000000000003</v>
      </c>
      <c r="V122" s="55"/>
      <c r="W122" s="122">
        <f>U122</f>
        <v>63.575000000000003</v>
      </c>
      <c r="X122" s="345">
        <f>W122</f>
        <v>63.575000000000003</v>
      </c>
      <c r="Y122" s="345">
        <f t="shared" ref="Y122:AA122" si="26">X122</f>
        <v>63.575000000000003</v>
      </c>
      <c r="Z122" s="345">
        <f t="shared" si="26"/>
        <v>63.575000000000003</v>
      </c>
      <c r="AA122" s="345">
        <f t="shared" si="26"/>
        <v>63.575000000000003</v>
      </c>
      <c r="AB122" s="43"/>
    </row>
    <row r="123" spans="1:28" x14ac:dyDescent="0.25">
      <c r="A123" s="59" t="s">
        <v>161</v>
      </c>
      <c r="G123" s="57">
        <v>175.221</v>
      </c>
      <c r="H123" s="57">
        <v>176.20400000000001</v>
      </c>
      <c r="I123" s="57">
        <v>179.959</v>
      </c>
      <c r="J123" s="57">
        <v>181.00899999999999</v>
      </c>
      <c r="K123" s="57">
        <v>0</v>
      </c>
      <c r="L123" s="57">
        <v>0</v>
      </c>
      <c r="M123" s="57">
        <v>0</v>
      </c>
      <c r="N123" s="57">
        <v>0</v>
      </c>
      <c r="O123" s="57">
        <v>0</v>
      </c>
      <c r="P123" s="57">
        <v>0</v>
      </c>
      <c r="Q123" s="83"/>
      <c r="R123" s="359">
        <v>0</v>
      </c>
      <c r="S123" s="346">
        <v>0</v>
      </c>
      <c r="T123" s="346">
        <v>0</v>
      </c>
      <c r="U123" s="346">
        <v>0</v>
      </c>
      <c r="V123" s="55"/>
      <c r="W123" s="62">
        <f>U123</f>
        <v>0</v>
      </c>
      <c r="X123" s="346">
        <v>0</v>
      </c>
      <c r="Y123" s="346">
        <v>0</v>
      </c>
      <c r="Z123" s="346">
        <v>0</v>
      </c>
      <c r="AA123" s="346">
        <v>0</v>
      </c>
      <c r="AB123" s="43"/>
    </row>
    <row r="124" spans="1:28" x14ac:dyDescent="0.25">
      <c r="A124" s="9" t="s">
        <v>162</v>
      </c>
      <c r="G124" s="11">
        <f t="shared" ref="G124:AA124" si="27">G116+SUM(G118:G123)</f>
        <v>1571.846</v>
      </c>
      <c r="H124" s="11">
        <f t="shared" si="27"/>
        <v>1568.3819999999998</v>
      </c>
      <c r="I124" s="11">
        <f t="shared" si="27"/>
        <v>1540.9029999999998</v>
      </c>
      <c r="J124" s="92">
        <f t="shared" si="27"/>
        <v>1541.7919999999999</v>
      </c>
      <c r="K124" s="11">
        <f t="shared" si="27"/>
        <v>1390.492</v>
      </c>
      <c r="L124" s="11">
        <f t="shared" si="27"/>
        <v>1380.2820000000002</v>
      </c>
      <c r="M124" s="11">
        <f t="shared" si="27"/>
        <v>1434.0659999999998</v>
      </c>
      <c r="N124" s="11">
        <f t="shared" si="27"/>
        <v>1427.3389999999999</v>
      </c>
      <c r="O124" s="11">
        <f t="shared" si="27"/>
        <v>1415.9490000000001</v>
      </c>
      <c r="P124" s="11">
        <f t="shared" si="27"/>
        <v>1209.9280000000001</v>
      </c>
      <c r="Q124" s="91"/>
      <c r="R124" s="11">
        <f t="shared" si="27"/>
        <v>1197.2133785406461</v>
      </c>
      <c r="S124" s="11">
        <f t="shared" si="27"/>
        <v>1202.6518670880114</v>
      </c>
      <c r="T124" s="11">
        <f t="shared" si="27"/>
        <v>1218.4366525031667</v>
      </c>
      <c r="U124" s="11">
        <f t="shared" si="27"/>
        <v>1219.0722818332445</v>
      </c>
      <c r="V124" s="55"/>
      <c r="W124" s="11">
        <f t="shared" si="27"/>
        <v>1219.0722818332445</v>
      </c>
      <c r="X124" s="11">
        <f t="shared" si="27"/>
        <v>1244.3507609886778</v>
      </c>
      <c r="Y124" s="11">
        <f t="shared" si="27"/>
        <v>1284.7452391653821</v>
      </c>
      <c r="Z124" s="11">
        <f t="shared" si="27"/>
        <v>1341.0123778135644</v>
      </c>
      <c r="AA124" s="11">
        <f t="shared" si="27"/>
        <v>1413.6283376040087</v>
      </c>
      <c r="AB124" s="43"/>
    </row>
    <row r="125" spans="1:28" x14ac:dyDescent="0.25">
      <c r="A125" s="15"/>
      <c r="G125" s="53"/>
      <c r="H125" s="53"/>
      <c r="I125" s="53"/>
      <c r="J125" s="53"/>
      <c r="K125" s="53"/>
      <c r="L125" s="53"/>
      <c r="M125" s="53"/>
      <c r="N125" s="53"/>
      <c r="O125" s="53"/>
      <c r="P125" s="53"/>
      <c r="R125" s="55"/>
      <c r="S125" s="55"/>
      <c r="T125" s="55"/>
      <c r="U125" s="55"/>
      <c r="V125" s="55"/>
      <c r="W125" s="55"/>
      <c r="X125" s="55"/>
      <c r="Y125" s="55"/>
      <c r="Z125" s="55"/>
      <c r="AA125" s="55"/>
      <c r="AB125" s="43"/>
    </row>
    <row r="126" spans="1:28" x14ac:dyDescent="0.25">
      <c r="A126" s="26" t="s">
        <v>163</v>
      </c>
      <c r="G126" s="53"/>
      <c r="H126" s="53"/>
      <c r="I126" s="53"/>
      <c r="J126" s="53"/>
      <c r="K126" s="53"/>
      <c r="L126" s="53"/>
      <c r="M126" s="53"/>
      <c r="N126" s="53"/>
      <c r="O126" s="53"/>
      <c r="P126" s="53"/>
      <c r="R126" s="55"/>
      <c r="S126" s="55"/>
      <c r="T126" s="55"/>
      <c r="U126" s="55"/>
      <c r="V126" s="55"/>
      <c r="W126" s="55"/>
      <c r="X126" s="55"/>
      <c r="Y126" s="55"/>
      <c r="Z126" s="55"/>
      <c r="AA126" s="55"/>
      <c r="AB126" s="43"/>
    </row>
    <row r="127" spans="1:28" x14ac:dyDescent="0.25">
      <c r="A127" s="15"/>
      <c r="G127" s="53"/>
      <c r="H127" s="53"/>
      <c r="I127" s="53"/>
      <c r="J127" s="53"/>
      <c r="K127" s="53"/>
      <c r="L127" s="53"/>
      <c r="M127" s="53"/>
      <c r="N127" s="53"/>
      <c r="O127" s="53"/>
      <c r="P127" s="53"/>
      <c r="R127" s="55"/>
      <c r="S127" s="55"/>
      <c r="T127" s="55"/>
      <c r="U127" s="55"/>
      <c r="V127" s="55"/>
      <c r="W127" s="55"/>
      <c r="X127" s="55"/>
      <c r="Y127" s="55"/>
      <c r="Z127" s="55"/>
      <c r="AA127" s="55"/>
      <c r="AB127" s="43"/>
    </row>
    <row r="128" spans="1:28" x14ac:dyDescent="0.25">
      <c r="A128" s="15" t="s">
        <v>164</v>
      </c>
      <c r="G128" s="53"/>
      <c r="H128" s="53"/>
      <c r="I128" s="53"/>
      <c r="J128" s="53"/>
      <c r="K128" s="53"/>
      <c r="L128" s="53"/>
      <c r="M128" s="53"/>
      <c r="N128" s="53"/>
      <c r="O128" s="53"/>
      <c r="P128" s="53"/>
      <c r="R128" s="55"/>
      <c r="S128" s="55"/>
      <c r="T128" s="55"/>
      <c r="U128" s="55"/>
      <c r="V128" s="55"/>
      <c r="W128" s="55"/>
      <c r="X128" s="55"/>
      <c r="Y128" s="55"/>
      <c r="Z128" s="55"/>
      <c r="AA128" s="55"/>
      <c r="AB128" s="43"/>
    </row>
    <row r="129" spans="1:28" x14ac:dyDescent="0.25">
      <c r="A129" s="64" t="s">
        <v>165</v>
      </c>
      <c r="G129" s="53">
        <v>28.937000000000001</v>
      </c>
      <c r="H129" s="53">
        <v>28.882999999999999</v>
      </c>
      <c r="I129" s="53">
        <v>28.95</v>
      </c>
      <c r="J129" s="53">
        <v>29.044</v>
      </c>
      <c r="K129" s="53">
        <v>173.51499999999999</v>
      </c>
      <c r="L129" s="53">
        <v>174.452</v>
      </c>
      <c r="M129" s="53">
        <v>174.143</v>
      </c>
      <c r="N129" s="53">
        <v>173.828</v>
      </c>
      <c r="O129" s="53">
        <v>173.501</v>
      </c>
      <c r="P129" s="53">
        <v>1.4E-2</v>
      </c>
      <c r="Q129" s="55"/>
      <c r="R129" s="311">
        <f>R466+R488+R495</f>
        <v>1.4E-2</v>
      </c>
      <c r="S129" s="311">
        <f>S466+S488+S495</f>
        <v>0</v>
      </c>
      <c r="T129" s="311">
        <f>T466+T488+T495</f>
        <v>0</v>
      </c>
      <c r="U129" s="311">
        <f>U466+U488+U495</f>
        <v>0</v>
      </c>
      <c r="V129" s="55"/>
      <c r="W129" s="311">
        <f>W466+W488+W495</f>
        <v>0</v>
      </c>
      <c r="X129" s="311">
        <f>X466+X488+X495</f>
        <v>0</v>
      </c>
      <c r="Y129" s="311">
        <f>Y466+Y488+Y495</f>
        <v>0</v>
      </c>
      <c r="Z129" s="311">
        <f>Z466+Z488+Z495</f>
        <v>0</v>
      </c>
      <c r="AA129" s="311">
        <f>AA466+AA488+AA495</f>
        <v>0</v>
      </c>
      <c r="AB129" s="43"/>
    </row>
    <row r="130" spans="1:28" x14ac:dyDescent="0.25">
      <c r="A130" s="64" t="s">
        <v>166</v>
      </c>
      <c r="G130" s="53">
        <v>47.89</v>
      </c>
      <c r="H130" s="53">
        <v>63.427999999999997</v>
      </c>
      <c r="I130" s="53">
        <v>59.277000000000001</v>
      </c>
      <c r="J130" s="53">
        <v>67.721000000000004</v>
      </c>
      <c r="K130" s="53">
        <v>66.070999999999998</v>
      </c>
      <c r="L130" s="53">
        <v>65.650999999999996</v>
      </c>
      <c r="M130" s="53">
        <v>54.347999999999999</v>
      </c>
      <c r="N130" s="53">
        <v>62.4</v>
      </c>
      <c r="O130" s="53">
        <v>68.491</v>
      </c>
      <c r="P130" s="53">
        <v>71.28</v>
      </c>
      <c r="Q130" s="55"/>
      <c r="R130" s="122">
        <f>R457*(SUM(R77:R78)/(365/4))</f>
        <v>54.960664827747664</v>
      </c>
      <c r="S130" s="122">
        <f>S457*(SUM(S77:S78)/(365/4))</f>
        <v>62.987785202607348</v>
      </c>
      <c r="T130" s="122">
        <f>T457*(SUM(T77:T78)/(365/4))</f>
        <v>69.686830852645969</v>
      </c>
      <c r="U130" s="122">
        <f>U457*(SUM(U77:U78)/(365/4))</f>
        <v>73.0770211148984</v>
      </c>
      <c r="V130" s="55"/>
      <c r="W130" s="119">
        <f>U130</f>
        <v>73.0770211148984</v>
      </c>
      <c r="X130" s="119">
        <f>X457*(SUM(X77:X78)/365)</f>
        <v>75.837561283101522</v>
      </c>
      <c r="Y130" s="119">
        <f>Y457*(SUM(Y77:Y78)/365)</f>
        <v>78.112688121594573</v>
      </c>
      <c r="Z130" s="119">
        <f>Z457*(SUM(Z77:Z78)/365)</f>
        <v>80.456068765242406</v>
      </c>
      <c r="AA130" s="119">
        <f>AA457*(SUM(AA77:AA78)/365)</f>
        <v>82.869750828199685</v>
      </c>
      <c r="AB130" s="43"/>
    </row>
    <row r="131" spans="1:28" x14ac:dyDescent="0.25">
      <c r="A131" s="64" t="s">
        <v>167</v>
      </c>
      <c r="G131" s="53">
        <v>157.02600000000001</v>
      </c>
      <c r="H131" s="53">
        <v>134.565</v>
      </c>
      <c r="I131" s="53">
        <v>140.322</v>
      </c>
      <c r="J131" s="53">
        <v>133.26499999999999</v>
      </c>
      <c r="K131" s="53">
        <v>137.226</v>
      </c>
      <c r="L131" s="53">
        <v>128.93</v>
      </c>
      <c r="M131" s="53">
        <v>141.095</v>
      </c>
      <c r="N131" s="53">
        <v>138.065</v>
      </c>
      <c r="O131" s="53">
        <v>142.72</v>
      </c>
      <c r="P131" s="53">
        <v>137.49700000000001</v>
      </c>
      <c r="Q131" s="55"/>
      <c r="R131" s="122">
        <f>R458*R83</f>
        <v>141.00125270774038</v>
      </c>
      <c r="S131" s="122">
        <f>S458*S83</f>
        <v>137.7382151078381</v>
      </c>
      <c r="T131" s="122">
        <f>T458*T83</f>
        <v>143.51501960983677</v>
      </c>
      <c r="U131" s="122">
        <f>U458*U83</f>
        <v>139.26269345987205</v>
      </c>
      <c r="V131" s="55"/>
      <c r="W131" s="119">
        <f>U131</f>
        <v>139.26269345987205</v>
      </c>
      <c r="X131" s="119">
        <f>X458*X83</f>
        <v>141.44665130160087</v>
      </c>
      <c r="Y131" s="119">
        <f>Y458*Y83</f>
        <v>143.96115716576847</v>
      </c>
      <c r="Z131" s="119">
        <f>Z458*Z83</f>
        <v>146.55109820586111</v>
      </c>
      <c r="AA131" s="119">
        <f>AA458*AA83</f>
        <v>149.21873747715651</v>
      </c>
      <c r="AB131" s="43"/>
    </row>
    <row r="132" spans="1:28" x14ac:dyDescent="0.25">
      <c r="A132" s="64" t="s">
        <v>168</v>
      </c>
      <c r="G132" s="57">
        <v>18.12</v>
      </c>
      <c r="H132" s="57">
        <v>15.959</v>
      </c>
      <c r="I132" s="57">
        <v>16.538</v>
      </c>
      <c r="J132" s="57">
        <v>18.503</v>
      </c>
      <c r="K132" s="57">
        <v>0</v>
      </c>
      <c r="L132" s="57">
        <v>0</v>
      </c>
      <c r="M132" s="57">
        <v>0</v>
      </c>
      <c r="N132" s="57">
        <v>0</v>
      </c>
      <c r="O132" s="57">
        <v>0</v>
      </c>
      <c r="P132" s="57">
        <v>0</v>
      </c>
      <c r="Q132" s="55"/>
      <c r="R132" s="359">
        <f>P132</f>
        <v>0</v>
      </c>
      <c r="S132" s="346">
        <v>0</v>
      </c>
      <c r="T132" s="346">
        <v>0</v>
      </c>
      <c r="U132" s="346">
        <v>0</v>
      </c>
      <c r="V132" s="55"/>
      <c r="W132" s="62">
        <f>U132</f>
        <v>0</v>
      </c>
      <c r="X132" s="346">
        <v>0</v>
      </c>
      <c r="Y132" s="346">
        <v>0</v>
      </c>
      <c r="Z132" s="346">
        <v>0</v>
      </c>
      <c r="AA132" s="346">
        <v>0</v>
      </c>
      <c r="AB132" s="43"/>
    </row>
    <row r="133" spans="1:28" x14ac:dyDescent="0.25">
      <c r="A133" s="9" t="s">
        <v>169</v>
      </c>
      <c r="G133" s="11">
        <f t="shared" ref="G133:P133" si="28">SUM(G129:G132)</f>
        <v>251.97300000000001</v>
      </c>
      <c r="H133" s="11">
        <f t="shared" si="28"/>
        <v>242.83499999999998</v>
      </c>
      <c r="I133" s="11">
        <f t="shared" si="28"/>
        <v>245.08700000000002</v>
      </c>
      <c r="J133" s="92">
        <f t="shared" si="28"/>
        <v>248.53299999999996</v>
      </c>
      <c r="K133" s="11">
        <f t="shared" si="28"/>
        <v>376.81200000000001</v>
      </c>
      <c r="L133" s="11">
        <f t="shared" si="28"/>
        <v>369.03300000000002</v>
      </c>
      <c r="M133" s="11">
        <f t="shared" si="28"/>
        <v>369.58600000000001</v>
      </c>
      <c r="N133" s="11">
        <f t="shared" si="28"/>
        <v>374.29300000000001</v>
      </c>
      <c r="O133" s="11">
        <f t="shared" si="28"/>
        <v>384.71199999999999</v>
      </c>
      <c r="P133" s="11">
        <f t="shared" si="28"/>
        <v>208.791</v>
      </c>
      <c r="Q133" s="55"/>
      <c r="R133" s="312">
        <f t="shared" ref="R133:T133" si="29">SUM(R129:R132)</f>
        <v>195.97591753548804</v>
      </c>
      <c r="S133" s="312">
        <f t="shared" si="29"/>
        <v>200.72600031044544</v>
      </c>
      <c r="T133" s="312">
        <f t="shared" si="29"/>
        <v>213.20185046248275</v>
      </c>
      <c r="U133" s="312">
        <f>SUM(U129:U132)</f>
        <v>212.33971457477045</v>
      </c>
      <c r="V133" s="55"/>
      <c r="W133" s="312">
        <f>SUM(W129:W132)</f>
        <v>212.33971457477045</v>
      </c>
      <c r="X133" s="312">
        <f t="shared" ref="X133:AA133" si="30">SUM(X129:X132)</f>
        <v>217.2842125847024</v>
      </c>
      <c r="Y133" s="312">
        <f t="shared" si="30"/>
        <v>222.07384528736304</v>
      </c>
      <c r="Z133" s="312">
        <f t="shared" si="30"/>
        <v>227.00716697110352</v>
      </c>
      <c r="AA133" s="312">
        <f t="shared" si="30"/>
        <v>232.08848830535618</v>
      </c>
      <c r="AB133" s="43"/>
    </row>
    <row r="134" spans="1:28" x14ac:dyDescent="0.25">
      <c r="A134" s="70"/>
      <c r="G134" s="53"/>
      <c r="H134" s="53"/>
      <c r="I134" s="53"/>
      <c r="J134" s="53"/>
      <c r="K134" s="53"/>
      <c r="L134" s="53"/>
      <c r="M134" s="53"/>
      <c r="N134" s="53"/>
      <c r="O134" s="53"/>
      <c r="P134" s="53"/>
      <c r="R134" s="122"/>
      <c r="S134" s="122"/>
      <c r="T134" s="122"/>
      <c r="U134" s="122"/>
      <c r="V134" s="55"/>
      <c r="W134" s="122"/>
      <c r="X134" s="122"/>
      <c r="Y134" s="122"/>
      <c r="Z134" s="122"/>
      <c r="AA134" s="122"/>
      <c r="AB134" s="43"/>
    </row>
    <row r="135" spans="1:28" x14ac:dyDescent="0.25">
      <c r="A135" s="272" t="s">
        <v>170</v>
      </c>
      <c r="G135" s="53">
        <v>258.73700000000002</v>
      </c>
      <c r="H135" s="53">
        <v>251.178</v>
      </c>
      <c r="I135" s="53">
        <v>240.03299999999999</v>
      </c>
      <c r="J135" s="53">
        <v>239.59299999999999</v>
      </c>
      <c r="K135" s="53">
        <v>1.2549999999999999</v>
      </c>
      <c r="L135" s="53">
        <v>1.4999999999999999E-2</v>
      </c>
      <c r="M135" s="53">
        <v>120.01</v>
      </c>
      <c r="N135" s="53">
        <v>120.005</v>
      </c>
      <c r="O135" s="53">
        <v>120.002</v>
      </c>
      <c r="P135" s="53">
        <v>120</v>
      </c>
      <c r="Q135" s="55"/>
      <c r="R135" s="360">
        <f>R474</f>
        <v>120</v>
      </c>
      <c r="S135" s="53">
        <f>S474</f>
        <v>120</v>
      </c>
      <c r="T135" s="53">
        <f>T474</f>
        <v>120</v>
      </c>
      <c r="U135" s="53">
        <f>U474</f>
        <v>120</v>
      </c>
      <c r="V135" s="53"/>
      <c r="W135" s="53">
        <f>W474</f>
        <v>120</v>
      </c>
      <c r="X135" s="53">
        <f>X474</f>
        <v>120</v>
      </c>
      <c r="Y135" s="53">
        <f>Y474</f>
        <v>120</v>
      </c>
      <c r="Z135" s="53">
        <f>Z474</f>
        <v>120</v>
      </c>
      <c r="AA135" s="53">
        <f>AA474</f>
        <v>120</v>
      </c>
      <c r="AB135" s="43"/>
    </row>
    <row r="136" spans="1:28" x14ac:dyDescent="0.25">
      <c r="A136" s="272" t="s">
        <v>171</v>
      </c>
      <c r="G136" s="53">
        <v>143.97200000000001</v>
      </c>
      <c r="H136" s="53">
        <v>148.59399999999999</v>
      </c>
      <c r="I136" s="53">
        <v>160.25700000000001</v>
      </c>
      <c r="J136" s="53">
        <v>162.25200000000001</v>
      </c>
      <c r="K136" s="53">
        <v>155.011</v>
      </c>
      <c r="L136" s="53">
        <v>153.12899999999999</v>
      </c>
      <c r="M136" s="53">
        <v>200.83199999999999</v>
      </c>
      <c r="N136" s="53">
        <v>199.81399999999999</v>
      </c>
      <c r="O136" s="53">
        <v>190.45400000000001</v>
      </c>
      <c r="P136" s="53">
        <v>194.292</v>
      </c>
      <c r="Q136" s="55"/>
      <c r="R136" s="350">
        <f>P136</f>
        <v>194.292</v>
      </c>
      <c r="S136" s="350">
        <f>R136</f>
        <v>194.292</v>
      </c>
      <c r="T136" s="350">
        <f t="shared" ref="T136:U136" si="31">S136</f>
        <v>194.292</v>
      </c>
      <c r="U136" s="350">
        <f t="shared" si="31"/>
        <v>194.292</v>
      </c>
      <c r="V136" s="55"/>
      <c r="W136" s="122">
        <f>U136</f>
        <v>194.292</v>
      </c>
      <c r="X136" s="345">
        <f>W136</f>
        <v>194.292</v>
      </c>
      <c r="Y136" s="345">
        <f t="shared" ref="Y136:AA136" si="32">X136</f>
        <v>194.292</v>
      </c>
      <c r="Z136" s="345">
        <f t="shared" si="32"/>
        <v>194.292</v>
      </c>
      <c r="AA136" s="345">
        <f t="shared" si="32"/>
        <v>194.292</v>
      </c>
      <c r="AB136" s="43"/>
    </row>
    <row r="137" spans="1:28" x14ac:dyDescent="0.25">
      <c r="A137" s="59" t="s">
        <v>172</v>
      </c>
      <c r="G137" s="57">
        <v>28.007000000000001</v>
      </c>
      <c r="H137" s="57">
        <v>28.062999999999999</v>
      </c>
      <c r="I137" s="57">
        <v>28.780999999999999</v>
      </c>
      <c r="J137" s="57">
        <v>30.356000000000002</v>
      </c>
      <c r="K137" s="57">
        <v>0</v>
      </c>
      <c r="L137" s="57">
        <v>0</v>
      </c>
      <c r="M137" s="57">
        <v>0</v>
      </c>
      <c r="N137" s="57">
        <v>0</v>
      </c>
      <c r="O137" s="57">
        <v>0</v>
      </c>
      <c r="P137" s="57">
        <v>0</v>
      </c>
      <c r="Q137" s="55"/>
      <c r="R137" s="351">
        <f>P137</f>
        <v>0</v>
      </c>
      <c r="S137" s="351">
        <f>R137</f>
        <v>0</v>
      </c>
      <c r="T137" s="351">
        <f t="shared" ref="T137:U137" si="33">S137</f>
        <v>0</v>
      </c>
      <c r="U137" s="351">
        <f t="shared" si="33"/>
        <v>0</v>
      </c>
      <c r="V137" s="55"/>
      <c r="W137" s="120">
        <f>U137</f>
        <v>0</v>
      </c>
      <c r="X137" s="351">
        <f>W137</f>
        <v>0</v>
      </c>
      <c r="Y137" s="351">
        <f t="shared" ref="Y137:AA137" si="34">X137</f>
        <v>0</v>
      </c>
      <c r="Z137" s="351">
        <f t="shared" si="34"/>
        <v>0</v>
      </c>
      <c r="AA137" s="351">
        <f t="shared" si="34"/>
        <v>0</v>
      </c>
      <c r="AB137" s="43"/>
    </row>
    <row r="138" spans="1:28" x14ac:dyDescent="0.25">
      <c r="A138" s="9" t="s">
        <v>173</v>
      </c>
      <c r="G138" s="11">
        <f t="shared" ref="G138:AA138" si="35">G133+SUM(G135:G137)</f>
        <v>682.68900000000008</v>
      </c>
      <c r="H138" s="11">
        <f t="shared" si="35"/>
        <v>670.67</v>
      </c>
      <c r="I138" s="11">
        <f t="shared" si="35"/>
        <v>674.15800000000002</v>
      </c>
      <c r="J138" s="92">
        <f t="shared" si="35"/>
        <v>680.73399999999992</v>
      </c>
      <c r="K138" s="11">
        <f t="shared" si="35"/>
        <v>533.07799999999997</v>
      </c>
      <c r="L138" s="11">
        <f t="shared" si="35"/>
        <v>522.17700000000002</v>
      </c>
      <c r="M138" s="11">
        <f t="shared" si="35"/>
        <v>690.428</v>
      </c>
      <c r="N138" s="11">
        <f t="shared" si="35"/>
        <v>694.11199999999997</v>
      </c>
      <c r="O138" s="11">
        <f t="shared" si="35"/>
        <v>695.16800000000001</v>
      </c>
      <c r="P138" s="11">
        <f t="shared" si="35"/>
        <v>523.08300000000008</v>
      </c>
      <c r="Q138" s="55"/>
      <c r="R138" s="121">
        <f t="shared" si="35"/>
        <v>510.2679175354881</v>
      </c>
      <c r="S138" s="121">
        <f t="shared" si="35"/>
        <v>515.01800031044547</v>
      </c>
      <c r="T138" s="121">
        <f t="shared" si="35"/>
        <v>527.49385046248278</v>
      </c>
      <c r="U138" s="121">
        <f t="shared" si="35"/>
        <v>526.63171457477051</v>
      </c>
      <c r="V138" s="55"/>
      <c r="W138" s="121">
        <f t="shared" si="35"/>
        <v>526.63171457477051</v>
      </c>
      <c r="X138" s="121">
        <f t="shared" si="35"/>
        <v>531.57621258470249</v>
      </c>
      <c r="Y138" s="121">
        <f t="shared" si="35"/>
        <v>536.36584528736307</v>
      </c>
      <c r="Z138" s="121">
        <f t="shared" si="35"/>
        <v>541.29916697110355</v>
      </c>
      <c r="AA138" s="121">
        <f t="shared" si="35"/>
        <v>546.38048830535627</v>
      </c>
      <c r="AB138" s="43"/>
    </row>
    <row r="139" spans="1:28" x14ac:dyDescent="0.25">
      <c r="A139" s="15"/>
      <c r="G139" s="53"/>
      <c r="H139" s="53"/>
      <c r="I139" s="53"/>
      <c r="J139" s="53"/>
      <c r="K139" s="53"/>
      <c r="L139" s="53"/>
      <c r="M139" s="53"/>
      <c r="N139" s="53"/>
      <c r="O139" s="53"/>
      <c r="P139" s="53"/>
      <c r="R139" s="55"/>
      <c r="S139" s="55"/>
      <c r="T139" s="55"/>
      <c r="U139" s="55"/>
      <c r="V139" s="55"/>
      <c r="W139" s="122"/>
      <c r="X139" s="122"/>
      <c r="Y139" s="122"/>
      <c r="Z139" s="122"/>
      <c r="AA139" s="122"/>
      <c r="AB139" s="43"/>
    </row>
    <row r="140" spans="1:28" x14ac:dyDescent="0.25">
      <c r="A140" s="15" t="s">
        <v>174</v>
      </c>
      <c r="G140" s="53"/>
      <c r="H140" s="53"/>
      <c r="I140" s="53"/>
      <c r="J140" s="53"/>
      <c r="K140" s="53"/>
      <c r="L140" s="53"/>
      <c r="M140" s="53"/>
      <c r="N140" s="53"/>
      <c r="O140" s="53"/>
      <c r="P140" s="53"/>
      <c r="R140" s="55"/>
      <c r="S140" s="55"/>
      <c r="T140" s="55"/>
      <c r="U140" s="55"/>
      <c r="V140" s="55"/>
      <c r="W140" s="122"/>
      <c r="X140" s="122"/>
      <c r="Y140" s="122"/>
      <c r="Z140" s="122"/>
      <c r="AA140" s="122"/>
      <c r="AB140" s="43"/>
    </row>
    <row r="141" spans="1:28" x14ac:dyDescent="0.25">
      <c r="A141" s="70" t="s">
        <v>175</v>
      </c>
      <c r="G141" s="53">
        <v>2.871</v>
      </c>
      <c r="H141" s="53">
        <v>2.8759999999999999</v>
      </c>
      <c r="I141" s="53">
        <v>2.831</v>
      </c>
      <c r="J141" s="53">
        <v>2.8359999999999999</v>
      </c>
      <c r="K141" s="53">
        <v>2.8319999999999999</v>
      </c>
      <c r="L141" s="53">
        <v>2.8330000000000002</v>
      </c>
      <c r="M141" s="53">
        <v>2.835</v>
      </c>
      <c r="N141" s="53">
        <v>2.8340000000000001</v>
      </c>
      <c r="O141" s="53">
        <v>2.8330000000000002</v>
      </c>
      <c r="P141" s="53">
        <v>2.7629999999999999</v>
      </c>
      <c r="Q141" s="55"/>
      <c r="R141" s="273">
        <f>P141</f>
        <v>2.7629999999999999</v>
      </c>
      <c r="S141" s="273">
        <f>R141</f>
        <v>2.7629999999999999</v>
      </c>
      <c r="T141" s="273">
        <f t="shared" ref="S141:U142" si="36">S141</f>
        <v>2.7629999999999999</v>
      </c>
      <c r="U141" s="273">
        <f t="shared" si="36"/>
        <v>2.7629999999999999</v>
      </c>
      <c r="V141" s="273"/>
      <c r="W141" s="273">
        <f>U141</f>
        <v>2.7629999999999999</v>
      </c>
      <c r="X141" s="273">
        <f>W141</f>
        <v>2.7629999999999999</v>
      </c>
      <c r="Y141" s="273">
        <f t="shared" ref="Y141:AA141" si="37">X141</f>
        <v>2.7629999999999999</v>
      </c>
      <c r="Z141" s="273">
        <f t="shared" si="37"/>
        <v>2.7629999999999999</v>
      </c>
      <c r="AA141" s="273">
        <f t="shared" si="37"/>
        <v>2.7629999999999999</v>
      </c>
      <c r="AB141" s="43"/>
    </row>
    <row r="142" spans="1:28" x14ac:dyDescent="0.25">
      <c r="A142" s="70" t="s">
        <v>176</v>
      </c>
      <c r="G142" s="53">
        <v>346.94299999999998</v>
      </c>
      <c r="H142" s="53">
        <v>347.40800000000002</v>
      </c>
      <c r="I142" s="53">
        <v>334.35300000000001</v>
      </c>
      <c r="J142" s="53">
        <v>333.92</v>
      </c>
      <c r="K142" s="53">
        <v>334.26600000000002</v>
      </c>
      <c r="L142" s="53">
        <v>335.36200000000002</v>
      </c>
      <c r="M142" s="53">
        <v>335.37900000000002</v>
      </c>
      <c r="N142" s="53">
        <v>336.64499999999998</v>
      </c>
      <c r="O142" s="53">
        <v>337.83699999999999</v>
      </c>
      <c r="P142" s="53">
        <v>317.63299999999998</v>
      </c>
      <c r="Q142" s="55"/>
      <c r="R142" s="273">
        <f>P142</f>
        <v>317.63299999999998</v>
      </c>
      <c r="S142" s="273">
        <f t="shared" si="36"/>
        <v>317.63299999999998</v>
      </c>
      <c r="T142" s="273">
        <f t="shared" si="36"/>
        <v>317.63299999999998</v>
      </c>
      <c r="U142" s="273">
        <f t="shared" si="36"/>
        <v>317.63299999999998</v>
      </c>
      <c r="V142" s="273"/>
      <c r="W142" s="273">
        <f>U142</f>
        <v>317.63299999999998</v>
      </c>
      <c r="X142" s="273">
        <f>W142</f>
        <v>317.63299999999998</v>
      </c>
      <c r="Y142" s="273">
        <f t="shared" ref="Y142:AA143" si="38">X142</f>
        <v>317.63299999999998</v>
      </c>
      <c r="Z142" s="273">
        <f t="shared" si="38"/>
        <v>317.63299999999998</v>
      </c>
      <c r="AA142" s="273">
        <f t="shared" si="38"/>
        <v>317.63299999999998</v>
      </c>
      <c r="AB142" s="43"/>
    </row>
    <row r="143" spans="1:28" x14ac:dyDescent="0.25">
      <c r="A143" s="70" t="s">
        <v>177</v>
      </c>
      <c r="G143" s="53">
        <v>55.113999999999997</v>
      </c>
      <c r="H143" s="53">
        <v>38.173000000000002</v>
      </c>
      <c r="I143" s="53">
        <v>26.109000000000002</v>
      </c>
      <c r="J143" s="53">
        <v>21.85</v>
      </c>
      <c r="K143" s="53">
        <v>20.556000000000001</v>
      </c>
      <c r="L143" s="53">
        <v>23.591000000000001</v>
      </c>
      <c r="M143" s="53">
        <v>21.539000000000001</v>
      </c>
      <c r="N143" s="53">
        <v>19.331</v>
      </c>
      <c r="O143" s="53">
        <v>22.651</v>
      </c>
      <c r="P143" s="53">
        <v>18.029</v>
      </c>
      <c r="Q143" s="55"/>
      <c r="R143" s="273">
        <f>P143</f>
        <v>18.029</v>
      </c>
      <c r="S143" s="273">
        <f>R143</f>
        <v>18.029</v>
      </c>
      <c r="T143" s="273">
        <f t="shared" ref="T143:U143" si="39">S143</f>
        <v>18.029</v>
      </c>
      <c r="U143" s="273">
        <f t="shared" si="39"/>
        <v>18.029</v>
      </c>
      <c r="V143" s="273"/>
      <c r="W143" s="273">
        <f>U143</f>
        <v>18.029</v>
      </c>
      <c r="X143" s="273">
        <f>W143</f>
        <v>18.029</v>
      </c>
      <c r="Y143" s="273">
        <f t="shared" si="38"/>
        <v>18.029</v>
      </c>
      <c r="Z143" s="273">
        <f t="shared" si="38"/>
        <v>18.029</v>
      </c>
      <c r="AA143" s="273">
        <f t="shared" si="38"/>
        <v>18.029</v>
      </c>
      <c r="AB143" s="43"/>
    </row>
    <row r="144" spans="1:28" x14ac:dyDescent="0.25">
      <c r="A144" s="70" t="s">
        <v>178</v>
      </c>
      <c r="G144" s="57">
        <v>484.22899999999998</v>
      </c>
      <c r="H144" s="57">
        <v>509.255</v>
      </c>
      <c r="I144" s="57">
        <v>503.452</v>
      </c>
      <c r="J144" s="57">
        <v>502.452</v>
      </c>
      <c r="K144" s="57">
        <v>499.76</v>
      </c>
      <c r="L144" s="57">
        <v>496.31900000000002</v>
      </c>
      <c r="M144" s="57">
        <v>383.88499999999999</v>
      </c>
      <c r="N144" s="57">
        <v>374.41699999999997</v>
      </c>
      <c r="O144" s="57">
        <v>357.46</v>
      </c>
      <c r="P144" s="57">
        <v>348.42</v>
      </c>
      <c r="Q144" s="55"/>
      <c r="R144" s="62">
        <f>P144+R93</f>
        <v>348.50346100515782</v>
      </c>
      <c r="S144" s="62">
        <f>R144+S93</f>
        <v>349.19186677756585</v>
      </c>
      <c r="T144" s="62">
        <f>S144+T93</f>
        <v>352.50080204068382</v>
      </c>
      <c r="U144" s="62">
        <f>T144+U93</f>
        <v>353.99856725847394</v>
      </c>
      <c r="V144" s="55"/>
      <c r="W144" s="62">
        <f>U144</f>
        <v>353.99856725847394</v>
      </c>
      <c r="X144" s="62">
        <f>W144+X93</f>
        <v>374.33254840397558</v>
      </c>
      <c r="Y144" s="62">
        <f>X144+Y93</f>
        <v>409.93739387801912</v>
      </c>
      <c r="Z144" s="62">
        <f>Y144+Z93</f>
        <v>461.27121084246073</v>
      </c>
      <c r="AA144" s="62">
        <f>Z144+AA93</f>
        <v>528.80584929865222</v>
      </c>
      <c r="AB144" s="43"/>
    </row>
    <row r="145" spans="1:28" x14ac:dyDescent="0.25">
      <c r="A145" s="9" t="s">
        <v>179</v>
      </c>
      <c r="G145" s="11">
        <f t="shared" ref="G145:N145" si="40">SUM(G141:G144)</f>
        <v>889.15699999999993</v>
      </c>
      <c r="H145" s="11">
        <f t="shared" si="40"/>
        <v>897.71199999999999</v>
      </c>
      <c r="I145" s="11">
        <f t="shared" si="40"/>
        <v>866.745</v>
      </c>
      <c r="J145" s="92">
        <f t="shared" si="40"/>
        <v>861.05799999999999</v>
      </c>
      <c r="K145" s="11">
        <f t="shared" si="40"/>
        <v>857.41399999999999</v>
      </c>
      <c r="L145" s="11">
        <f t="shared" si="40"/>
        <v>858.10500000000002</v>
      </c>
      <c r="M145" s="11">
        <f t="shared" si="40"/>
        <v>743.63799999999992</v>
      </c>
      <c r="N145" s="11">
        <f t="shared" si="40"/>
        <v>733.22699999999998</v>
      </c>
      <c r="O145" s="11">
        <f t="shared" ref="O145:P145" si="41">SUM(O141:O144)</f>
        <v>720.78099999999995</v>
      </c>
      <c r="P145" s="11">
        <f t="shared" si="41"/>
        <v>686.84500000000003</v>
      </c>
      <c r="Q145" s="55"/>
      <c r="R145" s="63">
        <f>SUM(R141:R144)</f>
        <v>686.92846100515771</v>
      </c>
      <c r="S145" s="63">
        <f t="shared" ref="S145:U145" si="42">SUM(S141:S144)</f>
        <v>687.61686677756575</v>
      </c>
      <c r="T145" s="63">
        <f t="shared" si="42"/>
        <v>690.92580204068372</v>
      </c>
      <c r="U145" s="63">
        <f t="shared" si="42"/>
        <v>692.42356725847389</v>
      </c>
      <c r="V145" s="55"/>
      <c r="W145" s="63">
        <f>SUM(W141:W144)</f>
        <v>692.42356725847389</v>
      </c>
      <c r="X145" s="63">
        <f t="shared" ref="X145:AA145" si="43">SUM(X141:X144)</f>
        <v>712.75754840397553</v>
      </c>
      <c r="Y145" s="63">
        <f t="shared" si="43"/>
        <v>748.36239387801902</v>
      </c>
      <c r="Z145" s="63">
        <f t="shared" si="43"/>
        <v>799.69621084246069</v>
      </c>
      <c r="AA145" s="63">
        <f t="shared" si="43"/>
        <v>867.23084929865217</v>
      </c>
      <c r="AB145" s="43"/>
    </row>
    <row r="146" spans="1:28" x14ac:dyDescent="0.25">
      <c r="A146" s="15"/>
      <c r="G146" s="53"/>
      <c r="H146" s="53"/>
      <c r="I146" s="53"/>
      <c r="J146" s="53"/>
      <c r="K146" s="53"/>
      <c r="L146" s="53"/>
      <c r="M146" s="53"/>
      <c r="N146" s="53"/>
      <c r="O146" s="53"/>
      <c r="P146" s="53"/>
      <c r="R146" s="55"/>
      <c r="S146" s="55"/>
      <c r="T146" s="55"/>
      <c r="U146" s="55"/>
      <c r="V146" s="55"/>
      <c r="W146" s="55"/>
      <c r="X146" s="55"/>
      <c r="Y146" s="55"/>
      <c r="Z146" s="55"/>
      <c r="AA146" s="55"/>
      <c r="AB146" s="43"/>
    </row>
    <row r="147" spans="1:28" x14ac:dyDescent="0.25">
      <c r="A147" s="9" t="s">
        <v>180</v>
      </c>
      <c r="G147" s="11">
        <f t="shared" ref="G147:AA147" si="44">G138+G145</f>
        <v>1571.846</v>
      </c>
      <c r="H147" s="11">
        <f t="shared" si="44"/>
        <v>1568.3820000000001</v>
      </c>
      <c r="I147" s="11">
        <f t="shared" si="44"/>
        <v>1540.903</v>
      </c>
      <c r="J147" s="92">
        <f t="shared" si="44"/>
        <v>1541.7919999999999</v>
      </c>
      <c r="K147" s="11">
        <f t="shared" si="44"/>
        <v>1390.492</v>
      </c>
      <c r="L147" s="11">
        <f t="shared" si="44"/>
        <v>1380.2820000000002</v>
      </c>
      <c r="M147" s="11">
        <f t="shared" si="44"/>
        <v>1434.0659999999998</v>
      </c>
      <c r="N147" s="11">
        <f t="shared" si="44"/>
        <v>1427.3389999999999</v>
      </c>
      <c r="O147" s="11">
        <f t="shared" ref="O147:P147" si="45">O138+O145</f>
        <v>1415.9490000000001</v>
      </c>
      <c r="P147" s="11">
        <f t="shared" si="45"/>
        <v>1209.9280000000001</v>
      </c>
      <c r="R147" s="11">
        <f t="shared" si="44"/>
        <v>1197.1963785406458</v>
      </c>
      <c r="S147" s="11">
        <f t="shared" si="44"/>
        <v>1202.6348670880111</v>
      </c>
      <c r="T147" s="11">
        <f t="shared" si="44"/>
        <v>1218.4196525031666</v>
      </c>
      <c r="U147" s="11">
        <f t="shared" si="44"/>
        <v>1219.0552818332444</v>
      </c>
      <c r="V147" s="55"/>
      <c r="W147" s="11">
        <f t="shared" si="44"/>
        <v>1219.0552818332444</v>
      </c>
      <c r="X147" s="11">
        <f t="shared" si="44"/>
        <v>1244.333760988678</v>
      </c>
      <c r="Y147" s="11">
        <f t="shared" si="44"/>
        <v>1284.7282391653821</v>
      </c>
      <c r="Z147" s="11">
        <f t="shared" si="44"/>
        <v>1340.9953778135641</v>
      </c>
      <c r="AA147" s="11">
        <f t="shared" si="44"/>
        <v>1413.6113376040084</v>
      </c>
      <c r="AB147" s="43"/>
    </row>
    <row r="148" spans="1:28" x14ac:dyDescent="0.25">
      <c r="M148" s="85"/>
      <c r="N148" s="85"/>
      <c r="O148" s="85"/>
      <c r="P148" s="85"/>
      <c r="AB148" s="43"/>
    </row>
    <row r="149" spans="1:28" x14ac:dyDescent="0.25">
      <c r="A149" s="117" t="s">
        <v>321</v>
      </c>
      <c r="M149" s="85"/>
      <c r="N149" s="85"/>
      <c r="O149" s="85"/>
      <c r="P149" s="85"/>
      <c r="R149" s="55">
        <f>R124-R147</f>
        <v>1.7000000000280124E-2</v>
      </c>
      <c r="S149" s="55">
        <f t="shared" ref="S149:AA149" si="46">S124-S147</f>
        <v>1.7000000000280124E-2</v>
      </c>
      <c r="T149" s="55">
        <f t="shared" si="46"/>
        <v>1.7000000000052751E-2</v>
      </c>
      <c r="U149" s="55">
        <f t="shared" si="46"/>
        <v>1.7000000000052751E-2</v>
      </c>
      <c r="V149" s="55"/>
      <c r="W149" s="55">
        <f>W124-W147</f>
        <v>1.7000000000052751E-2</v>
      </c>
      <c r="X149" s="55">
        <f t="shared" si="46"/>
        <v>1.6999999999825377E-2</v>
      </c>
      <c r="Y149" s="55">
        <f t="shared" si="46"/>
        <v>1.7000000000052751E-2</v>
      </c>
      <c r="Z149" s="55">
        <f t="shared" si="46"/>
        <v>1.7000000000280124E-2</v>
      </c>
      <c r="AA149" s="55">
        <f t="shared" si="46"/>
        <v>1.7000000000280124E-2</v>
      </c>
      <c r="AB149" s="43"/>
    </row>
    <row r="150" spans="1:28" collapsed="1" x14ac:dyDescent="0.25">
      <c r="V150" s="43"/>
      <c r="W150" s="43"/>
      <c r="X150" s="43"/>
      <c r="Y150" s="43"/>
      <c r="Z150" s="43"/>
      <c r="AA150" s="43"/>
      <c r="AB150" s="43"/>
    </row>
    <row r="151" spans="1:28" x14ac:dyDescent="0.25">
      <c r="A151" s="203" t="s">
        <v>8684</v>
      </c>
      <c r="B151" s="204"/>
      <c r="C151" s="204"/>
      <c r="D151" s="204"/>
      <c r="E151" s="204"/>
      <c r="F151" s="204"/>
      <c r="G151" s="204"/>
      <c r="H151" s="205"/>
      <c r="I151" s="204"/>
      <c r="J151" s="206"/>
      <c r="K151" s="204"/>
      <c r="L151" s="204"/>
      <c r="M151" s="204"/>
      <c r="N151" s="204"/>
      <c r="O151" s="204"/>
      <c r="P151" s="204"/>
      <c r="Q151" s="41"/>
      <c r="R151" s="41"/>
      <c r="S151" s="41"/>
      <c r="T151" s="41"/>
      <c r="U151" s="41"/>
      <c r="V151" s="41"/>
      <c r="W151" s="41"/>
      <c r="X151" s="41"/>
      <c r="Y151" s="41"/>
      <c r="Z151" s="41"/>
      <c r="AA151" s="42"/>
      <c r="AB151" s="43"/>
    </row>
    <row r="152" spans="1:28" x14ac:dyDescent="0.25">
      <c r="H152" s="202"/>
      <c r="V152" s="43"/>
      <c r="W152" s="43"/>
      <c r="X152" s="43"/>
      <c r="Y152" s="43"/>
      <c r="Z152" s="43"/>
      <c r="AA152" s="43"/>
      <c r="AB152" s="43"/>
    </row>
    <row r="153" spans="1:28" x14ac:dyDescent="0.25">
      <c r="A153" s="33" t="s">
        <v>8700</v>
      </c>
      <c r="J153" s="31"/>
      <c r="V153" s="43"/>
      <c r="W153" s="43"/>
      <c r="X153" s="43"/>
      <c r="Y153" s="43"/>
      <c r="Z153" s="43"/>
      <c r="AA153" s="43"/>
      <c r="AB153" s="43"/>
    </row>
    <row r="154" spans="1:28" x14ac:dyDescent="0.25">
      <c r="A154" s="201" t="s">
        <v>298</v>
      </c>
      <c r="G154" s="53">
        <f>SUM(G178:G181)</f>
        <v>388.11700000000008</v>
      </c>
      <c r="H154" s="53">
        <f>756.92-I154</f>
        <v>378.03099999999995</v>
      </c>
      <c r="I154" s="53">
        <v>378.88900000000001</v>
      </c>
      <c r="J154" s="53">
        <v>382.666</v>
      </c>
      <c r="K154" s="53">
        <f>SUM(K178:K181)</f>
        <v>375.06399999999996</v>
      </c>
      <c r="L154" s="53">
        <f>707.328-M154</f>
        <v>355.34099999999995</v>
      </c>
      <c r="M154" s="53">
        <v>351.98700000000002</v>
      </c>
      <c r="N154" s="53">
        <v>358.78800000000001</v>
      </c>
      <c r="O154" s="53">
        <f>1430.083-SUM(L154:N154)</f>
        <v>363.9670000000001</v>
      </c>
      <c r="P154" s="53">
        <v>354.37599999999998</v>
      </c>
      <c r="R154" s="53">
        <f>SUM(R178:R181)</f>
        <v>357.05878274250358</v>
      </c>
      <c r="S154" s="53">
        <f t="shared" ref="S154:U154" si="47">SUM(S178:S181)</f>
        <v>362.88565841184231</v>
      </c>
      <c r="T154" s="53">
        <f t="shared" si="47"/>
        <v>369.56303979824747</v>
      </c>
      <c r="U154" s="53">
        <f t="shared" si="47"/>
        <v>362.20719990845339</v>
      </c>
      <c r="V154" s="43"/>
      <c r="W154" s="53">
        <f>SUM(R154:U154)</f>
        <v>1451.7146808610469</v>
      </c>
      <c r="X154" s="53">
        <f t="shared" ref="X154:AA154" si="48">SUM(X178:X181)</f>
        <v>1491.0895845258685</v>
      </c>
      <c r="Y154" s="53">
        <f t="shared" si="48"/>
        <v>1534.5575599833464</v>
      </c>
      <c r="Z154" s="53">
        <f t="shared" si="48"/>
        <v>1579.3295747045486</v>
      </c>
      <c r="AA154" s="53">
        <f t="shared" si="48"/>
        <v>1625.4447498673869</v>
      </c>
      <c r="AB154" s="43"/>
    </row>
    <row r="155" spans="1:28" x14ac:dyDescent="0.25">
      <c r="A155" s="201" t="s">
        <v>299</v>
      </c>
      <c r="G155" s="56">
        <f>G177</f>
        <v>99.75</v>
      </c>
      <c r="H155" s="56">
        <f>190.364-I155</f>
        <v>95.850999999999999</v>
      </c>
      <c r="I155" s="56">
        <f>'Regis Corp. model'!I177</f>
        <v>94.513000000000005</v>
      </c>
      <c r="J155" s="56">
        <v>93.144999999999996</v>
      </c>
      <c r="K155" s="56">
        <f>K177</f>
        <v>91.241999999999962</v>
      </c>
      <c r="L155" s="56">
        <f>168.984-M155</f>
        <v>84.190000000000012</v>
      </c>
      <c r="M155" s="56">
        <f>'Regis Corp. model'!M177</f>
        <v>84.793999999999997</v>
      </c>
      <c r="N155" s="56">
        <v>82.878</v>
      </c>
      <c r="O155" s="56">
        <f>333.858-SUM(L155:N155)</f>
        <v>81.995999999999981</v>
      </c>
      <c r="P155" s="56">
        <v>79.034999999999997</v>
      </c>
      <c r="R155" s="56">
        <f>R177</f>
        <v>83.752103049853375</v>
      </c>
      <c r="S155" s="56">
        <f t="shared" ref="S155:U155" si="49">S177</f>
        <v>82.308337374701665</v>
      </c>
      <c r="T155" s="56">
        <f t="shared" si="49"/>
        <v>82.184586439440068</v>
      </c>
      <c r="U155" s="56">
        <f t="shared" si="49"/>
        <v>81.005034975369469</v>
      </c>
      <c r="V155" s="43"/>
      <c r="W155" s="56">
        <f t="shared" ref="W155:W156" si="50">SUM(R155:U155)</f>
        <v>329.25006183936461</v>
      </c>
      <c r="X155" s="56">
        <f t="shared" ref="X155:AA155" si="51">X177</f>
        <v>338.12509968434023</v>
      </c>
      <c r="Y155" s="56">
        <f t="shared" si="51"/>
        <v>348.2688526748704</v>
      </c>
      <c r="Z155" s="56">
        <f t="shared" si="51"/>
        <v>358.71691825511658</v>
      </c>
      <c r="AA155" s="56">
        <f t="shared" si="51"/>
        <v>369.47842580277006</v>
      </c>
      <c r="AB155" s="43"/>
    </row>
    <row r="156" spans="1:28" x14ac:dyDescent="0.25">
      <c r="A156" s="201" t="s">
        <v>198</v>
      </c>
      <c r="G156" s="57">
        <f>G184</f>
        <v>40.975000000000023</v>
      </c>
      <c r="H156" s="57">
        <f>64.241-I156</f>
        <v>31.478000000000002</v>
      </c>
      <c r="I156" s="57">
        <v>32.762999999999998</v>
      </c>
      <c r="J156" s="57">
        <v>29.126000000000001</v>
      </c>
      <c r="K156" s="57">
        <f>K184</f>
        <v>35.945000000000007</v>
      </c>
      <c r="L156" s="57">
        <f>60.638-M156</f>
        <v>29.052</v>
      </c>
      <c r="M156" s="57">
        <v>31.585999999999999</v>
      </c>
      <c r="N156" s="57">
        <v>29.895</v>
      </c>
      <c r="O156" s="57">
        <f>128.496-SUM(L156:N156)</f>
        <v>37.963000000000008</v>
      </c>
      <c r="P156" s="57">
        <v>31.14</v>
      </c>
      <c r="R156" s="57">
        <f>R184</f>
        <v>32.669703765690379</v>
      </c>
      <c r="S156" s="57">
        <f t="shared" ref="S156:U156" si="52">S184</f>
        <v>30.834439004149377</v>
      </c>
      <c r="T156" s="57">
        <f t="shared" si="52"/>
        <v>39.42864674094708</v>
      </c>
      <c r="U156" s="57">
        <f t="shared" si="52"/>
        <v>32.163048199445988</v>
      </c>
      <c r="V156" s="43"/>
      <c r="W156" s="57">
        <f t="shared" si="50"/>
        <v>135.09583771023284</v>
      </c>
      <c r="X156" s="57">
        <f t="shared" ref="X156:AA156" si="53">X184</f>
        <v>139.33565614642126</v>
      </c>
      <c r="Y156" s="57">
        <f t="shared" si="53"/>
        <v>143.51572583081392</v>
      </c>
      <c r="Z156" s="57">
        <f t="shared" si="53"/>
        <v>147.82119760573832</v>
      </c>
      <c r="AA156" s="57">
        <f t="shared" si="53"/>
        <v>152.25583353391048</v>
      </c>
      <c r="AB156" s="43"/>
    </row>
    <row r="157" spans="1:28" x14ac:dyDescent="0.25">
      <c r="A157" s="33" t="s">
        <v>297</v>
      </c>
      <c r="G157" s="11">
        <f t="shared" ref="G157:P157" si="54">SUM(G154:G156)</f>
        <v>528.8420000000001</v>
      </c>
      <c r="H157" s="11">
        <f t="shared" si="54"/>
        <v>505.35999999999996</v>
      </c>
      <c r="I157" s="11">
        <f t="shared" si="54"/>
        <v>506.16500000000002</v>
      </c>
      <c r="J157" s="11">
        <f t="shared" si="54"/>
        <v>504.93699999999995</v>
      </c>
      <c r="K157" s="11">
        <f t="shared" si="54"/>
        <v>502.25099999999992</v>
      </c>
      <c r="L157" s="11">
        <f t="shared" si="54"/>
        <v>468.58299999999997</v>
      </c>
      <c r="M157" s="11">
        <f t="shared" si="54"/>
        <v>468.36700000000002</v>
      </c>
      <c r="N157" s="11">
        <f t="shared" si="54"/>
        <v>471.56099999999998</v>
      </c>
      <c r="O157" s="11">
        <f t="shared" si="54"/>
        <v>483.9260000000001</v>
      </c>
      <c r="P157" s="11">
        <f t="shared" si="54"/>
        <v>464.55099999999993</v>
      </c>
      <c r="R157" s="11">
        <f>SUM(R154:R156)</f>
        <v>473.48058955804731</v>
      </c>
      <c r="S157" s="11">
        <f t="shared" ref="S157:X157" si="55">SUM(S154:S156)</f>
        <v>476.02843479069332</v>
      </c>
      <c r="T157" s="11">
        <f t="shared" si="55"/>
        <v>491.17627297863464</v>
      </c>
      <c r="U157" s="11">
        <f t="shared" si="55"/>
        <v>475.37528308326887</v>
      </c>
      <c r="V157" s="43"/>
      <c r="W157" s="11">
        <f t="shared" si="55"/>
        <v>1916.0605804106444</v>
      </c>
      <c r="X157" s="11">
        <f t="shared" si="55"/>
        <v>1968.5503403566302</v>
      </c>
      <c r="Y157" s="11">
        <f t="shared" ref="Y157" si="56">SUM(Y154:Y156)</f>
        <v>2026.3421384890307</v>
      </c>
      <c r="Z157" s="11">
        <f t="shared" ref="Z157" si="57">SUM(Z154:Z156)</f>
        <v>2085.8676905654033</v>
      </c>
      <c r="AA157" s="11">
        <f t="shared" ref="AA157" si="58">SUM(AA154:AA156)</f>
        <v>2147.1790092040674</v>
      </c>
      <c r="AB157" s="43"/>
    </row>
    <row r="158" spans="1:28" x14ac:dyDescent="0.25">
      <c r="H158" s="44"/>
      <c r="I158" s="44"/>
      <c r="J158" s="44"/>
      <c r="K158" s="44"/>
      <c r="L158" s="44"/>
      <c r="M158" s="44"/>
      <c r="R158" s="44"/>
      <c r="S158" s="44"/>
      <c r="T158" s="44"/>
      <c r="U158" s="44"/>
      <c r="V158" s="43"/>
      <c r="W158" s="44"/>
      <c r="X158" s="44"/>
      <c r="Y158" s="44"/>
      <c r="Z158" s="44"/>
      <c r="AA158" s="44"/>
      <c r="AB158" s="43"/>
    </row>
    <row r="159" spans="1:28" x14ac:dyDescent="0.25">
      <c r="A159" s="33" t="s">
        <v>8713</v>
      </c>
      <c r="H159" s="44"/>
      <c r="I159" s="44"/>
      <c r="J159" s="44"/>
      <c r="K159" s="44"/>
      <c r="L159" s="44"/>
      <c r="M159" s="44"/>
      <c r="N159" s="44"/>
      <c r="O159" s="44"/>
      <c r="P159" s="44"/>
      <c r="R159" s="44"/>
      <c r="S159" s="44"/>
      <c r="T159" s="44"/>
      <c r="U159" s="44"/>
      <c r="V159" s="43"/>
      <c r="W159" s="44"/>
      <c r="X159" s="44"/>
      <c r="Y159" s="44"/>
      <c r="Z159" s="44"/>
      <c r="AA159" s="44"/>
      <c r="AB159" s="43"/>
    </row>
    <row r="160" spans="1:28" x14ac:dyDescent="0.25">
      <c r="A160" s="201" t="s">
        <v>298</v>
      </c>
      <c r="G160" s="48">
        <f t="shared" ref="G160:H162" si="59">G154/G$157</f>
        <v>0.73389972808513693</v>
      </c>
      <c r="H160" s="48">
        <f t="shared" si="59"/>
        <v>0.74804297926230801</v>
      </c>
      <c r="I160" s="48">
        <f t="shared" ref="I160:N162" si="60">I154/I$157</f>
        <v>0.74854839824958264</v>
      </c>
      <c r="J160" s="48">
        <f t="shared" si="60"/>
        <v>0.75784899898403169</v>
      </c>
      <c r="K160" s="48">
        <f t="shared" si="60"/>
        <v>0.74676605920147499</v>
      </c>
      <c r="L160" s="48">
        <f t="shared" si="60"/>
        <v>0.75833096804621591</v>
      </c>
      <c r="M160" s="48">
        <f t="shared" si="60"/>
        <v>0.75151964164853635</v>
      </c>
      <c r="N160" s="48">
        <f t="shared" si="60"/>
        <v>0.76085172437924264</v>
      </c>
      <c r="O160" s="48">
        <f t="shared" ref="O160:P160" si="61">O154/O$157</f>
        <v>0.75211292635650906</v>
      </c>
      <c r="P160" s="48">
        <f t="shared" si="61"/>
        <v>0.76283551213967904</v>
      </c>
      <c r="R160" s="48">
        <f t="shared" ref="R160:U160" si="62">R154/R$157</f>
        <v>0.75411493230543347</v>
      </c>
      <c r="S160" s="48">
        <f t="shared" si="62"/>
        <v>0.76231928996300569</v>
      </c>
      <c r="T160" s="48">
        <f t="shared" si="62"/>
        <v>0.75240409630764649</v>
      </c>
      <c r="U160" s="48">
        <f t="shared" si="62"/>
        <v>0.76193948822746749</v>
      </c>
      <c r="V160" s="43"/>
      <c r="W160" s="48">
        <f t="shared" ref="W160:Z160" si="63">W154/W$157</f>
        <v>0.75765594037215656</v>
      </c>
      <c r="X160" s="48">
        <f t="shared" si="63"/>
        <v>0.75745565351188171</v>
      </c>
      <c r="Y160" s="48">
        <f t="shared" si="63"/>
        <v>0.75730427297317615</v>
      </c>
      <c r="Z160" s="48">
        <f t="shared" si="63"/>
        <v>0.75715712067837315</v>
      </c>
      <c r="AA160" s="48">
        <f t="shared" ref="AA160" si="64">AA154/AA$157</f>
        <v>0.75701408354859012</v>
      </c>
      <c r="AB160" s="43"/>
    </row>
    <row r="161" spans="1:28" x14ac:dyDescent="0.25">
      <c r="A161" s="201" t="s">
        <v>299</v>
      </c>
      <c r="G161" s="48">
        <f t="shared" si="59"/>
        <v>0.1886196633399011</v>
      </c>
      <c r="H161" s="48">
        <f t="shared" si="59"/>
        <v>0.1896687509893937</v>
      </c>
      <c r="I161" s="48">
        <f t="shared" si="60"/>
        <v>0.1867236968182312</v>
      </c>
      <c r="J161" s="48">
        <f t="shared" si="60"/>
        <v>0.18446855746360438</v>
      </c>
      <c r="K161" s="48">
        <f t="shared" si="60"/>
        <v>0.18166613904203271</v>
      </c>
      <c r="L161" s="48">
        <f t="shared" si="60"/>
        <v>0.1796693435314555</v>
      </c>
      <c r="M161" s="48">
        <f t="shared" si="60"/>
        <v>0.18104178987845002</v>
      </c>
      <c r="N161" s="48">
        <f t="shared" si="60"/>
        <v>0.1757524477215037</v>
      </c>
      <c r="O161" s="48">
        <f t="shared" ref="O161:P161" si="65">O155/O$157</f>
        <v>0.16943912912304768</v>
      </c>
      <c r="P161" s="48">
        <f t="shared" si="65"/>
        <v>0.1701320199504468</v>
      </c>
      <c r="R161" s="48">
        <f t="shared" ref="R161:U161" si="66">R155/R$157</f>
        <v>0.17688603270522374</v>
      </c>
      <c r="S161" s="48">
        <f t="shared" si="66"/>
        <v>0.17290634625826945</v>
      </c>
      <c r="T161" s="48">
        <f t="shared" si="66"/>
        <v>0.16732197982823768</v>
      </c>
      <c r="U161" s="48">
        <f t="shared" si="66"/>
        <v>0.17040228606328331</v>
      </c>
      <c r="V161" s="43"/>
      <c r="W161" s="48">
        <f t="shared" ref="W161:Z161" si="67">W155/W$157</f>
        <v>0.17183697906294837</v>
      </c>
      <c r="X161" s="48">
        <f t="shared" si="67"/>
        <v>0.17176350167559554</v>
      </c>
      <c r="Y161" s="48">
        <f t="shared" si="67"/>
        <v>0.17187070537582649</v>
      </c>
      <c r="Z161" s="48">
        <f t="shared" si="67"/>
        <v>0.17197491474537457</v>
      </c>
      <c r="AA161" s="48">
        <f t="shared" ref="AA161" si="68">AA155/AA$157</f>
        <v>0.17207620986371841</v>
      </c>
      <c r="AB161" s="43"/>
    </row>
    <row r="162" spans="1:28" x14ac:dyDescent="0.25">
      <c r="A162" s="201" t="s">
        <v>198</v>
      </c>
      <c r="G162" s="400">
        <f t="shared" si="59"/>
        <v>7.7480608574961932E-2</v>
      </c>
      <c r="H162" s="400">
        <f t="shared" si="59"/>
        <v>6.228826974829825E-2</v>
      </c>
      <c r="I162" s="400">
        <f t="shared" si="60"/>
        <v>6.4727904932186137E-2</v>
      </c>
      <c r="J162" s="400">
        <f t="shared" si="60"/>
        <v>5.7682443552363967E-2</v>
      </c>
      <c r="K162" s="400">
        <f t="shared" si="60"/>
        <v>7.15678017564923E-2</v>
      </c>
      <c r="L162" s="400">
        <f t="shared" si="60"/>
        <v>6.19996884223286E-2</v>
      </c>
      <c r="M162" s="400">
        <f t="shared" si="60"/>
        <v>6.7438568473013674E-2</v>
      </c>
      <c r="N162" s="400">
        <f t="shared" si="60"/>
        <v>6.3395827899253757E-2</v>
      </c>
      <c r="O162" s="400">
        <f t="shared" ref="O162:P162" si="69">O156/O$157</f>
        <v>7.8447944520443208E-2</v>
      </c>
      <c r="P162" s="400">
        <f t="shared" si="69"/>
        <v>6.7032467909874272E-2</v>
      </c>
      <c r="R162" s="400">
        <f t="shared" ref="R162:U162" si="70">R156/R$157</f>
        <v>6.8999034989342831E-2</v>
      </c>
      <c r="S162" s="400">
        <f t="shared" si="70"/>
        <v>6.4774363778724864E-2</v>
      </c>
      <c r="T162" s="400">
        <f t="shared" si="70"/>
        <v>8.0273923864115804E-2</v>
      </c>
      <c r="U162" s="400">
        <f t="shared" si="70"/>
        <v>6.7658225709249092E-2</v>
      </c>
      <c r="V162" s="43"/>
      <c r="W162" s="400">
        <f t="shared" ref="W162:Z162" si="71">W156/W$157</f>
        <v>7.0507080564895033E-2</v>
      </c>
      <c r="X162" s="400">
        <f t="shared" si="71"/>
        <v>7.0780844812522642E-2</v>
      </c>
      <c r="Y162" s="400">
        <f t="shared" si="71"/>
        <v>7.0825021650997369E-2</v>
      </c>
      <c r="Z162" s="400">
        <f t="shared" si="71"/>
        <v>7.0867964576252357E-2</v>
      </c>
      <c r="AA162" s="400">
        <f t="shared" ref="AA162" si="72">AA156/AA$157</f>
        <v>7.0909706587691454E-2</v>
      </c>
      <c r="AB162" s="43"/>
    </row>
    <row r="163" spans="1:28" x14ac:dyDescent="0.25">
      <c r="A163" s="33" t="s">
        <v>297</v>
      </c>
      <c r="G163" s="401">
        <f>SUM(G160:G162)</f>
        <v>1</v>
      </c>
      <c r="H163" s="401">
        <f t="shared" ref="H163:R163" si="73">SUM(H160:H162)</f>
        <v>1</v>
      </c>
      <c r="I163" s="401">
        <f t="shared" si="73"/>
        <v>1</v>
      </c>
      <c r="J163" s="401">
        <f t="shared" si="73"/>
        <v>1</v>
      </c>
      <c r="K163" s="401">
        <f t="shared" si="73"/>
        <v>1</v>
      </c>
      <c r="L163" s="401">
        <f t="shared" si="73"/>
        <v>1</v>
      </c>
      <c r="M163" s="401">
        <f t="shared" si="73"/>
        <v>1</v>
      </c>
      <c r="N163" s="401">
        <f t="shared" si="73"/>
        <v>1</v>
      </c>
      <c r="O163" s="401">
        <f t="shared" ref="O163:P163" si="74">SUM(O160:O162)</f>
        <v>1</v>
      </c>
      <c r="P163" s="401">
        <f t="shared" si="74"/>
        <v>1</v>
      </c>
      <c r="R163" s="401">
        <f t="shared" si="73"/>
        <v>1</v>
      </c>
      <c r="S163" s="401">
        <f t="shared" ref="S163" si="75">SUM(S160:S162)</f>
        <v>1</v>
      </c>
      <c r="T163" s="401">
        <f t="shared" ref="T163" si="76">SUM(T160:T162)</f>
        <v>1</v>
      </c>
      <c r="U163" s="401">
        <f t="shared" ref="U163" si="77">SUM(U160:U162)</f>
        <v>0.99999999999999989</v>
      </c>
      <c r="V163" s="43"/>
      <c r="W163" s="401">
        <f t="shared" ref="W163" si="78">SUM(W160:W162)</f>
        <v>1</v>
      </c>
      <c r="X163" s="401">
        <f t="shared" ref="X163" si="79">SUM(X160:X162)</f>
        <v>0.99999999999999989</v>
      </c>
      <c r="Y163" s="401">
        <f t="shared" ref="Y163" si="80">SUM(Y160:Y162)</f>
        <v>1</v>
      </c>
      <c r="Z163" s="401">
        <f t="shared" ref="Z163:AA163" si="81">SUM(Z160:Z162)</f>
        <v>1.0000000000000002</v>
      </c>
      <c r="AA163" s="401">
        <f t="shared" si="81"/>
        <v>1</v>
      </c>
      <c r="AB163" s="43"/>
    </row>
    <row r="164" spans="1:28" x14ac:dyDescent="0.25">
      <c r="H164" s="44"/>
      <c r="I164" s="44"/>
      <c r="J164" s="44"/>
      <c r="K164" s="44"/>
      <c r="L164" s="44"/>
      <c r="M164" s="44"/>
      <c r="N164" s="44"/>
      <c r="O164" s="44"/>
      <c r="P164" s="44"/>
      <c r="R164" s="44"/>
      <c r="S164" s="44"/>
      <c r="T164" s="44"/>
      <c r="U164" s="44"/>
      <c r="V164" s="43"/>
      <c r="W164" s="44"/>
      <c r="X164" s="44"/>
      <c r="Y164" s="44"/>
      <c r="Z164" s="44"/>
      <c r="AA164" s="44"/>
      <c r="AB164" s="43"/>
    </row>
    <row r="165" spans="1:28" x14ac:dyDescent="0.25">
      <c r="A165" s="33" t="s">
        <v>108</v>
      </c>
      <c r="H165" s="44"/>
      <c r="I165" s="44"/>
      <c r="J165" s="44"/>
      <c r="K165" s="44"/>
      <c r="L165" s="44"/>
      <c r="M165" s="44"/>
      <c r="N165" s="44"/>
      <c r="O165" s="44"/>
      <c r="P165" s="44"/>
      <c r="R165" s="44"/>
      <c r="S165" s="44"/>
      <c r="T165" s="44"/>
      <c r="U165" s="44"/>
      <c r="V165" s="43"/>
      <c r="W165" s="44"/>
      <c r="X165" s="44"/>
      <c r="Y165" s="44"/>
      <c r="Z165" s="44"/>
      <c r="AA165" s="44"/>
      <c r="AB165" s="43"/>
    </row>
    <row r="166" spans="1:28" x14ac:dyDescent="0.25">
      <c r="A166" s="201" t="s">
        <v>298</v>
      </c>
      <c r="H166" s="53">
        <f>74.017-I166</f>
        <v>36.659999999999997</v>
      </c>
      <c r="I166" s="53">
        <v>37.356999999999999</v>
      </c>
      <c r="J166" s="53">
        <v>36.44</v>
      </c>
      <c r="K166" s="53">
        <f>141.103-SUM(H166:J166)</f>
        <v>30.646000000000015</v>
      </c>
      <c r="L166" s="53">
        <f>56.841-M166</f>
        <v>30.051000000000002</v>
      </c>
      <c r="M166" s="53">
        <v>26.79</v>
      </c>
      <c r="N166" s="53">
        <v>29.989000000000001</v>
      </c>
      <c r="O166" s="53">
        <f>118.935-SUM(L166:N166)</f>
        <v>32.105000000000004</v>
      </c>
      <c r="P166" s="53">
        <v>29.286999999999999</v>
      </c>
      <c r="R166" s="53"/>
      <c r="S166" s="53"/>
      <c r="T166" s="53"/>
      <c r="U166" s="53"/>
      <c r="V166" s="43"/>
      <c r="W166" s="53"/>
      <c r="X166" s="53"/>
      <c r="Y166" s="53"/>
      <c r="Z166" s="53"/>
      <c r="AA166" s="53"/>
      <c r="AB166" s="43"/>
    </row>
    <row r="167" spans="1:28" x14ac:dyDescent="0.25">
      <c r="A167" s="201" t="s">
        <v>299</v>
      </c>
      <c r="H167" s="56">
        <f>-4.837-I167</f>
        <v>-2.6819999999999999</v>
      </c>
      <c r="I167" s="56">
        <v>-2.1549999999999998</v>
      </c>
      <c r="J167" s="56">
        <v>-4.4279999999999999</v>
      </c>
      <c r="K167" s="56">
        <f>-13.85-SUM(H167:J167)</f>
        <v>-4.5849999999999991</v>
      </c>
      <c r="L167" s="56">
        <f>-40.152-M167</f>
        <v>-1.2430000000000021</v>
      </c>
      <c r="M167" s="56">
        <v>-38.908999999999999</v>
      </c>
      <c r="N167" s="56">
        <v>-3.8530000000000002</v>
      </c>
      <c r="O167" s="56">
        <f>-46.274-SUM(L167:N167)</f>
        <v>-2.2689999999999984</v>
      </c>
      <c r="P167" s="56">
        <v>-4.5439999999999996</v>
      </c>
      <c r="R167" s="56"/>
      <c r="S167" s="56"/>
      <c r="T167" s="56"/>
      <c r="U167" s="56"/>
      <c r="V167" s="43"/>
      <c r="W167" s="56"/>
      <c r="X167" s="56"/>
      <c r="Y167" s="56"/>
      <c r="Z167" s="56"/>
      <c r="AA167" s="56"/>
      <c r="AB167" s="43"/>
    </row>
    <row r="168" spans="1:28" x14ac:dyDescent="0.25">
      <c r="A168" s="201" t="s">
        <v>198</v>
      </c>
      <c r="H168" s="57">
        <f>0.655-I168</f>
        <v>0.42200000000000004</v>
      </c>
      <c r="I168" s="57">
        <v>0.23300000000000001</v>
      </c>
      <c r="J168" s="57">
        <v>-0.21299999999999999</v>
      </c>
      <c r="K168" s="57">
        <f>-1.38-SUM(H168:J168)</f>
        <v>-1.8220000000000001</v>
      </c>
      <c r="L168" s="57">
        <f>0.238-M168</f>
        <v>-0.25700000000000001</v>
      </c>
      <c r="M168" s="57">
        <v>0.495</v>
      </c>
      <c r="N168" s="57">
        <v>-3.109</v>
      </c>
      <c r="O168" s="57">
        <f>-3.356-SUM(L168:N168)</f>
        <v>-0.48499999999999988</v>
      </c>
      <c r="P168" s="57">
        <v>0.63</v>
      </c>
      <c r="R168" s="57"/>
      <c r="S168" s="57"/>
      <c r="T168" s="57"/>
      <c r="U168" s="57"/>
      <c r="V168" s="43"/>
      <c r="W168" s="57"/>
      <c r="X168" s="57"/>
      <c r="Y168" s="57"/>
      <c r="Z168" s="57"/>
      <c r="AA168" s="57"/>
      <c r="AB168" s="43"/>
    </row>
    <row r="169" spans="1:28" x14ac:dyDescent="0.25">
      <c r="A169" s="33" t="s">
        <v>297</v>
      </c>
      <c r="H169" s="11">
        <f t="shared" ref="H169:P169" si="82">SUM(H166:H168)</f>
        <v>34.399999999999991</v>
      </c>
      <c r="I169" s="11">
        <f t="shared" si="82"/>
        <v>35.434999999999995</v>
      </c>
      <c r="J169" s="11">
        <f t="shared" si="82"/>
        <v>31.798999999999999</v>
      </c>
      <c r="K169" s="11">
        <f t="shared" si="82"/>
        <v>24.239000000000015</v>
      </c>
      <c r="L169" s="11">
        <f t="shared" si="82"/>
        <v>28.550999999999998</v>
      </c>
      <c r="M169" s="11">
        <f t="shared" si="82"/>
        <v>-11.624000000000001</v>
      </c>
      <c r="N169" s="11">
        <f t="shared" si="82"/>
        <v>23.027000000000001</v>
      </c>
      <c r="O169" s="11">
        <f t="shared" si="82"/>
        <v>29.351000000000006</v>
      </c>
      <c r="P169" s="11">
        <f t="shared" si="82"/>
        <v>25.372999999999998</v>
      </c>
      <c r="R169" s="11"/>
      <c r="S169" s="11"/>
      <c r="T169" s="11"/>
      <c r="U169" s="11"/>
      <c r="V169" s="43"/>
      <c r="W169" s="11"/>
      <c r="X169" s="11"/>
      <c r="Y169" s="11"/>
      <c r="Z169" s="11"/>
      <c r="AA169" s="11"/>
      <c r="AB169" s="43"/>
    </row>
    <row r="170" spans="1:28" x14ac:dyDescent="0.25">
      <c r="H170" s="44"/>
      <c r="I170" s="44"/>
      <c r="J170" s="44"/>
      <c r="K170" s="44"/>
      <c r="L170" s="44"/>
      <c r="M170" s="44"/>
      <c r="N170" s="44"/>
      <c r="O170" s="44"/>
      <c r="P170" s="44"/>
      <c r="R170" s="44"/>
      <c r="S170" s="44"/>
      <c r="T170" s="44"/>
      <c r="U170" s="44"/>
      <c r="V170" s="43"/>
      <c r="W170" s="44"/>
      <c r="X170" s="44"/>
      <c r="Y170" s="44"/>
      <c r="Z170" s="44"/>
      <c r="AA170" s="44"/>
      <c r="AB170" s="43"/>
    </row>
    <row r="171" spans="1:28" x14ac:dyDescent="0.25">
      <c r="A171" s="201" t="s">
        <v>8647</v>
      </c>
      <c r="H171" s="57">
        <f>-51.839-I171</f>
        <v>-25.126999999999999</v>
      </c>
      <c r="I171" s="57">
        <v>-26.712</v>
      </c>
      <c r="J171" s="57">
        <v>-28.491</v>
      </c>
      <c r="K171" s="57">
        <f>-113.547-SUM(H171:J171)</f>
        <v>-33.216999999999999</v>
      </c>
      <c r="L171" s="57">
        <f>-50.158-M171</f>
        <v>-27.122</v>
      </c>
      <c r="M171" s="57">
        <v>-23.036000000000001</v>
      </c>
      <c r="N171" s="57">
        <v>-26.248000000000001</v>
      </c>
      <c r="O171" s="57">
        <f>-103.295-SUM(L171:N171)</f>
        <v>-26.888999999999996</v>
      </c>
      <c r="P171" s="57">
        <v>-25.98</v>
      </c>
      <c r="R171" s="57"/>
      <c r="S171" s="57"/>
      <c r="T171" s="57"/>
      <c r="U171" s="57"/>
      <c r="V171" s="43"/>
      <c r="W171" s="57"/>
      <c r="X171" s="57"/>
      <c r="Y171" s="57"/>
      <c r="Z171" s="57"/>
      <c r="AA171" s="57"/>
      <c r="AB171" s="43"/>
    </row>
    <row r="172" spans="1:28" s="33" customFormat="1" x14ac:dyDescent="0.25">
      <c r="A172" s="33" t="s">
        <v>8648</v>
      </c>
      <c r="H172" s="11">
        <f t="shared" ref="H172:P172" si="83">H169+H171</f>
        <v>9.2729999999999926</v>
      </c>
      <c r="I172" s="11">
        <f t="shared" si="83"/>
        <v>8.7229999999999954</v>
      </c>
      <c r="J172" s="11">
        <f t="shared" si="83"/>
        <v>3.3079999999999998</v>
      </c>
      <c r="K172" s="11">
        <f t="shared" si="83"/>
        <v>-8.9779999999999838</v>
      </c>
      <c r="L172" s="11">
        <f t="shared" si="83"/>
        <v>1.4289999999999985</v>
      </c>
      <c r="M172" s="11">
        <f t="shared" si="83"/>
        <v>-34.660000000000004</v>
      </c>
      <c r="N172" s="11">
        <f t="shared" si="83"/>
        <v>-3.2210000000000001</v>
      </c>
      <c r="O172" s="11">
        <f t="shared" si="83"/>
        <v>2.4620000000000104</v>
      </c>
      <c r="P172" s="11">
        <f t="shared" si="83"/>
        <v>-0.60700000000000287</v>
      </c>
      <c r="R172" s="11">
        <f>R85</f>
        <v>2.0680169310120391</v>
      </c>
      <c r="S172" s="11">
        <f>S85</f>
        <v>2.9987011883200125</v>
      </c>
      <c r="T172" s="11">
        <f>T85</f>
        <v>7.030285020181509</v>
      </c>
      <c r="U172" s="11">
        <f>U85</f>
        <v>4.2438695658309484</v>
      </c>
      <c r="V172" s="46"/>
      <c r="W172" s="11">
        <f>SUM(R172:U172)</f>
        <v>16.340872705344509</v>
      </c>
      <c r="X172" s="11">
        <f>X85</f>
        <v>39.03867868538714</v>
      </c>
      <c r="Y172" s="11">
        <f>Y85</f>
        <v>62.529428729297706</v>
      </c>
      <c r="Z172" s="11">
        <f>Z85</f>
        <v>86.724901274525564</v>
      </c>
      <c r="AA172" s="11">
        <f>AA85</f>
        <v>111.6462379961099</v>
      </c>
      <c r="AB172" s="46"/>
    </row>
    <row r="173" spans="1:28" collapsed="1" x14ac:dyDescent="0.25">
      <c r="V173" s="43"/>
      <c r="W173" s="43"/>
      <c r="X173" s="43"/>
      <c r="Y173" s="43"/>
      <c r="Z173" s="43"/>
      <c r="AA173" s="43"/>
      <c r="AB173" s="43"/>
    </row>
    <row r="174" spans="1:28" x14ac:dyDescent="0.25">
      <c r="A174" s="39" t="s">
        <v>128</v>
      </c>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52"/>
    </row>
    <row r="176" spans="1:28" s="33" customFormat="1" x14ac:dyDescent="0.25">
      <c r="A176" s="33" t="s">
        <v>238</v>
      </c>
      <c r="J176" s="139"/>
    </row>
    <row r="177" spans="1:27" x14ac:dyDescent="0.25">
      <c r="A177" s="15" t="s">
        <v>129</v>
      </c>
      <c r="D177" s="53">
        <v>104.866</v>
      </c>
      <c r="E177" s="53">
        <v>104.629</v>
      </c>
      <c r="F177" s="53">
        <v>105.50700000000001</v>
      </c>
      <c r="G177" s="53">
        <v>99.75</v>
      </c>
      <c r="H177" s="53">
        <v>96.867000000000004</v>
      </c>
      <c r="I177" s="53">
        <v>94.513000000000005</v>
      </c>
      <c r="J177" s="53">
        <v>94.093999999999994</v>
      </c>
      <c r="K177" s="53">
        <v>91.241999999999962</v>
      </c>
      <c r="L177" s="53">
        <v>85.061999999999998</v>
      </c>
      <c r="M177" s="53">
        <v>84.793999999999997</v>
      </c>
      <c r="N177" s="53">
        <v>82.878</v>
      </c>
      <c r="O177" s="53">
        <f>333.858-SUM(L177:N177)</f>
        <v>81.124000000000024</v>
      </c>
      <c r="P177" s="53">
        <v>79.034999999999997</v>
      </c>
      <c r="R177" s="55">
        <f>R189</f>
        <v>83.752103049853375</v>
      </c>
      <c r="S177" s="55">
        <f t="shared" ref="S177:U177" si="84">S189</f>
        <v>82.308337374701665</v>
      </c>
      <c r="T177" s="55">
        <f t="shared" si="84"/>
        <v>82.184586439440068</v>
      </c>
      <c r="U177" s="55">
        <f t="shared" si="84"/>
        <v>81.005034975369469</v>
      </c>
      <c r="W177" s="53">
        <f>SUM(R177:U177)</f>
        <v>329.25006183936461</v>
      </c>
      <c r="X177" s="55">
        <f t="shared" ref="X177:AA177" si="85">X189</f>
        <v>338.12509968434023</v>
      </c>
      <c r="Y177" s="55">
        <f t="shared" si="85"/>
        <v>348.2688526748704</v>
      </c>
      <c r="Z177" s="55">
        <f t="shared" si="85"/>
        <v>358.71691825511658</v>
      </c>
      <c r="AA177" s="55">
        <f t="shared" si="85"/>
        <v>369.47842580277006</v>
      </c>
    </row>
    <row r="178" spans="1:27" x14ac:dyDescent="0.25">
      <c r="A178" s="15" t="s">
        <v>130</v>
      </c>
      <c r="D178" s="53">
        <v>40.459000000000003</v>
      </c>
      <c r="E178" s="53">
        <v>40.292999999999999</v>
      </c>
      <c r="F178" s="53">
        <v>40.548999999999999</v>
      </c>
      <c r="G178" s="53">
        <v>38.325999999999993</v>
      </c>
      <c r="H178" s="53">
        <v>37.930999999999997</v>
      </c>
      <c r="I178" s="53">
        <v>37.603999999999999</v>
      </c>
      <c r="J178" s="53">
        <v>36.497</v>
      </c>
      <c r="K178" s="53">
        <v>34.474000000000004</v>
      </c>
      <c r="L178" s="53">
        <v>31.975000000000001</v>
      </c>
      <c r="M178" s="53">
        <v>32.485999999999997</v>
      </c>
      <c r="N178" s="53">
        <v>32.378999999999998</v>
      </c>
      <c r="O178" s="53">
        <f>127.758-SUM(L178:N178)</f>
        <v>30.917999999999992</v>
      </c>
      <c r="P178" s="53">
        <v>30.052</v>
      </c>
      <c r="R178" s="53">
        <f>R190</f>
        <v>32.061088060836497</v>
      </c>
      <c r="S178" s="53">
        <f t="shared" ref="S178:U178" si="86">S190</f>
        <v>31.964799072463762</v>
      </c>
      <c r="T178" s="53">
        <f t="shared" si="86"/>
        <v>31.062709616519165</v>
      </c>
      <c r="U178" s="53">
        <f t="shared" si="86"/>
        <v>30.675256263736266</v>
      </c>
      <c r="W178" s="53">
        <f t="shared" ref="W178:W181" si="87">SUM(R178:U178)</f>
        <v>125.76385301355569</v>
      </c>
      <c r="X178" s="53">
        <f t="shared" ref="X178:AA178" si="88">X190</f>
        <v>129.01259525947566</v>
      </c>
      <c r="Y178" s="53">
        <f t="shared" si="88"/>
        <v>132.88297311725995</v>
      </c>
      <c r="Z178" s="53">
        <f t="shared" si="88"/>
        <v>136.86946231077775</v>
      </c>
      <c r="AA178" s="53">
        <f t="shared" si="88"/>
        <v>140.97554618010111</v>
      </c>
    </row>
    <row r="179" spans="1:27" x14ac:dyDescent="0.25">
      <c r="A179" s="15" t="s">
        <v>131</v>
      </c>
      <c r="D179" s="53">
        <v>128.48400000000001</v>
      </c>
      <c r="E179" s="53">
        <v>125.98</v>
      </c>
      <c r="F179" s="53">
        <v>133.715</v>
      </c>
      <c r="G179" s="53">
        <v>125.87099999999998</v>
      </c>
      <c r="H179" s="53">
        <v>122.998</v>
      </c>
      <c r="I179" s="53">
        <v>127.369</v>
      </c>
      <c r="J179" s="53">
        <v>132.56100000000001</v>
      </c>
      <c r="K179" s="53">
        <v>126.60899999999998</v>
      </c>
      <c r="L179" s="53">
        <v>117.476</v>
      </c>
      <c r="M179" s="53">
        <v>118.783</v>
      </c>
      <c r="N179" s="53">
        <v>126.607</v>
      </c>
      <c r="O179" s="53">
        <f>487.722-SUM(L179:N179)</f>
        <v>124.85599999999999</v>
      </c>
      <c r="P179" s="53">
        <v>123.47199999999999</v>
      </c>
      <c r="R179" s="53">
        <f>R191+R216</f>
        <v>124.94579910990791</v>
      </c>
      <c r="S179" s="53">
        <f t="shared" ref="S179:U179" si="89">S191+S216</f>
        <v>132.72781419495797</v>
      </c>
      <c r="T179" s="53">
        <f t="shared" si="89"/>
        <v>129.75641204490989</v>
      </c>
      <c r="U179" s="53">
        <f t="shared" si="89"/>
        <v>127.50748278419256</v>
      </c>
      <c r="W179" s="53">
        <f t="shared" si="87"/>
        <v>514.93750813396832</v>
      </c>
      <c r="X179" s="53">
        <f t="shared" ref="X179:AA179" si="90">X191+X216</f>
        <v>531.15970713445131</v>
      </c>
      <c r="Y179" s="53">
        <f t="shared" si="90"/>
        <v>547.02252286435407</v>
      </c>
      <c r="Z179" s="53">
        <f t="shared" si="90"/>
        <v>563.36122306615391</v>
      </c>
      <c r="AA179" s="53">
        <f t="shared" si="90"/>
        <v>580.19008427400775</v>
      </c>
    </row>
    <row r="180" spans="1:27" x14ac:dyDescent="0.25">
      <c r="A180" s="15" t="s">
        <v>132</v>
      </c>
      <c r="D180" s="56">
        <v>83.602999999999994</v>
      </c>
      <c r="E180" s="56">
        <v>85.031000000000006</v>
      </c>
      <c r="F180" s="56">
        <v>86.697999999999993</v>
      </c>
      <c r="G180" s="56">
        <v>88.432000000000016</v>
      </c>
      <c r="H180" s="56">
        <v>87.067999999999998</v>
      </c>
      <c r="I180" s="56">
        <v>85.108999999999995</v>
      </c>
      <c r="J180" s="56">
        <v>85.674000000000007</v>
      </c>
      <c r="K180" s="56">
        <v>85.613</v>
      </c>
      <c r="L180" s="56">
        <v>85.319000000000003</v>
      </c>
      <c r="M180" s="56">
        <v>84.25</v>
      </c>
      <c r="N180" s="56">
        <v>84.608999999999995</v>
      </c>
      <c r="O180" s="53">
        <f>343.372-SUM(L180:N180)</f>
        <v>89.194000000000017</v>
      </c>
      <c r="P180" s="53">
        <v>86.72</v>
      </c>
      <c r="R180" s="56">
        <f>R192+R217</f>
        <v>86.087440489033142</v>
      </c>
      <c r="S180" s="56">
        <f t="shared" ref="S180:U180" si="91">S192+S217</f>
        <v>85.802611187226276</v>
      </c>
      <c r="T180" s="56">
        <f t="shared" si="91"/>
        <v>89.829698520621619</v>
      </c>
      <c r="U180" s="56">
        <f t="shared" si="91"/>
        <v>88.217831082591402</v>
      </c>
      <c r="W180" s="53">
        <f t="shared" si="87"/>
        <v>349.9375812794724</v>
      </c>
      <c r="X180" s="56">
        <f t="shared" ref="X180:AA180" si="92">X192+X217</f>
        <v>358.91151954771328</v>
      </c>
      <c r="Y180" s="56">
        <f t="shared" si="92"/>
        <v>368.9631089308441</v>
      </c>
      <c r="Z180" s="56">
        <f t="shared" si="92"/>
        <v>379.31624599546871</v>
      </c>
      <c r="AA180" s="56">
        <f t="shared" si="92"/>
        <v>389.97997717203214</v>
      </c>
    </row>
    <row r="181" spans="1:27" x14ac:dyDescent="0.25">
      <c r="A181" s="15" t="s">
        <v>133</v>
      </c>
      <c r="D181" s="57">
        <v>140.44499999999999</v>
      </c>
      <c r="E181" s="57">
        <v>136.136</v>
      </c>
      <c r="F181" s="57">
        <v>136.84299999999999</v>
      </c>
      <c r="G181" s="57">
        <v>135.48800000000006</v>
      </c>
      <c r="H181" s="57">
        <v>129.018</v>
      </c>
      <c r="I181" s="57">
        <v>128.80699999999999</v>
      </c>
      <c r="J181" s="57">
        <v>126.985</v>
      </c>
      <c r="K181" s="57">
        <v>128.36799999999999</v>
      </c>
      <c r="L181" s="57">
        <v>119.699</v>
      </c>
      <c r="M181" s="57">
        <v>116.468</v>
      </c>
      <c r="N181" s="57">
        <v>115.193</v>
      </c>
      <c r="O181" s="57">
        <f>471.231-SUM(L181:N181)</f>
        <v>119.87099999999998</v>
      </c>
      <c r="P181" s="57">
        <v>114.13200000000001</v>
      </c>
      <c r="R181" s="57">
        <f t="shared" ref="R181:U181" si="93">R193+R218</f>
        <v>113.964455082726</v>
      </c>
      <c r="S181" s="57">
        <f t="shared" si="93"/>
        <v>112.39043395719429</v>
      </c>
      <c r="T181" s="57">
        <f t="shared" si="93"/>
        <v>118.91421961619685</v>
      </c>
      <c r="U181" s="57">
        <f t="shared" si="93"/>
        <v>115.80662977793314</v>
      </c>
      <c r="W181" s="57">
        <f t="shared" si="87"/>
        <v>461.07573843405032</v>
      </c>
      <c r="X181" s="57">
        <f t="shared" ref="X181:AA181" si="94">X193+X218</f>
        <v>472.00576258422831</v>
      </c>
      <c r="Y181" s="57">
        <f t="shared" si="94"/>
        <v>485.68895507088837</v>
      </c>
      <c r="Z181" s="57">
        <f t="shared" si="94"/>
        <v>499.78264333214821</v>
      </c>
      <c r="AA181" s="57">
        <f t="shared" si="94"/>
        <v>514.29914224124582</v>
      </c>
    </row>
    <row r="182" spans="1:27" x14ac:dyDescent="0.25">
      <c r="A182" s="9" t="s">
        <v>145</v>
      </c>
      <c r="D182" s="11">
        <f>SUM(D177:D181)</f>
        <v>497.85699999999997</v>
      </c>
      <c r="E182" s="11">
        <f t="shared" ref="E182:U182" si="95">SUM(E177:E181)</f>
        <v>492.06899999999996</v>
      </c>
      <c r="F182" s="11">
        <f t="shared" si="95"/>
        <v>503.31200000000001</v>
      </c>
      <c r="G182" s="11">
        <f t="shared" si="95"/>
        <v>487.86700000000008</v>
      </c>
      <c r="H182" s="11">
        <f t="shared" si="95"/>
        <v>473.88199999999995</v>
      </c>
      <c r="I182" s="11">
        <f t="shared" si="95"/>
        <v>473.40199999999993</v>
      </c>
      <c r="J182" s="92">
        <f t="shared" si="95"/>
        <v>475.81100000000004</v>
      </c>
      <c r="K182" s="11">
        <f t="shared" si="95"/>
        <v>466.30599999999993</v>
      </c>
      <c r="L182" s="11">
        <f t="shared" si="95"/>
        <v>439.53100000000001</v>
      </c>
      <c r="M182" s="11">
        <f t="shared" si="95"/>
        <v>436.78100000000001</v>
      </c>
      <c r="N182" s="11">
        <f t="shared" si="95"/>
        <v>441.666</v>
      </c>
      <c r="O182" s="11">
        <f t="shared" si="95"/>
        <v>445.96300000000002</v>
      </c>
      <c r="P182" s="11">
        <f t="shared" si="95"/>
        <v>433.411</v>
      </c>
      <c r="R182" s="11">
        <f t="shared" si="95"/>
        <v>440.81088579235688</v>
      </c>
      <c r="S182" s="11">
        <f t="shared" si="95"/>
        <v>445.19399578654395</v>
      </c>
      <c r="T182" s="11">
        <f t="shared" si="95"/>
        <v>451.74762623768754</v>
      </c>
      <c r="U182" s="11">
        <f t="shared" si="95"/>
        <v>443.21223488382282</v>
      </c>
      <c r="W182" s="11">
        <f t="shared" ref="W182:AA182" si="96">SUM(W177:W181)</f>
        <v>1780.9647427004115</v>
      </c>
      <c r="X182" s="11">
        <f t="shared" si="96"/>
        <v>1829.2146842102088</v>
      </c>
      <c r="Y182" s="11">
        <f t="shared" si="96"/>
        <v>1882.8264126582169</v>
      </c>
      <c r="Z182" s="11">
        <f t="shared" si="96"/>
        <v>1938.0464929596651</v>
      </c>
      <c r="AA182" s="11">
        <f t="shared" si="96"/>
        <v>1994.9231756701568</v>
      </c>
    </row>
    <row r="183" spans="1:27" x14ac:dyDescent="0.25">
      <c r="A183" s="9"/>
      <c r="D183" s="59"/>
      <c r="E183" s="59"/>
      <c r="F183" s="59"/>
      <c r="G183" s="59"/>
      <c r="H183" s="59"/>
      <c r="I183" s="60"/>
      <c r="J183" s="59"/>
      <c r="K183" s="59"/>
      <c r="L183" s="59"/>
      <c r="M183" s="59"/>
      <c r="N183" s="59"/>
      <c r="O183" s="59"/>
      <c r="P183" s="59"/>
      <c r="R183" s="59"/>
      <c r="S183" s="59"/>
      <c r="T183" s="59"/>
      <c r="U183" s="59"/>
      <c r="W183" s="61"/>
      <c r="X183" s="59"/>
      <c r="Y183" s="59"/>
      <c r="Z183" s="59"/>
      <c r="AA183" s="59"/>
    </row>
    <row r="184" spans="1:27" x14ac:dyDescent="0.25">
      <c r="A184" s="15" t="s">
        <v>134</v>
      </c>
      <c r="D184" s="53">
        <v>33.488999999999997</v>
      </c>
      <c r="E184" s="53">
        <v>34.069000000000003</v>
      </c>
      <c r="F184" s="53">
        <v>32.588999999999999</v>
      </c>
      <c r="G184" s="53">
        <v>40.975000000000023</v>
      </c>
      <c r="H184" s="53">
        <v>31.478000000000002</v>
      </c>
      <c r="I184" s="54">
        <v>32.762999999999998</v>
      </c>
      <c r="J184" s="53">
        <v>29.126000000000001</v>
      </c>
      <c r="K184" s="53">
        <v>35.945000000000007</v>
      </c>
      <c r="L184" s="53">
        <v>29.052</v>
      </c>
      <c r="M184" s="53">
        <v>31.585999999999999</v>
      </c>
      <c r="N184" s="53">
        <v>29.895</v>
      </c>
      <c r="O184" s="53">
        <f>128.496-SUM(L184:N184)</f>
        <v>37.963000000000008</v>
      </c>
      <c r="P184" s="53">
        <v>31.14</v>
      </c>
      <c r="Q184" s="55"/>
      <c r="R184" s="53">
        <f>R242/1000000*R213</f>
        <v>32.669703765690379</v>
      </c>
      <c r="S184" s="53">
        <f>S242/1000000*S213</f>
        <v>30.834439004149377</v>
      </c>
      <c r="T184" s="53">
        <f>T242/1000000*T213</f>
        <v>39.42864674094708</v>
      </c>
      <c r="U184" s="53">
        <f>U242/1000000*U213</f>
        <v>32.163048199445988</v>
      </c>
      <c r="W184" s="53">
        <f t="shared" ref="W184" si="97">SUM(R184:U184)</f>
        <v>135.09583771023284</v>
      </c>
      <c r="X184" s="53">
        <f>X242/1000000*X213</f>
        <v>139.33565614642126</v>
      </c>
      <c r="Y184" s="53">
        <f>Y242/1000000*Y213</f>
        <v>143.51572583081392</v>
      </c>
      <c r="Z184" s="53">
        <f>Z242/1000000*Z213</f>
        <v>147.82119760573832</v>
      </c>
      <c r="AA184" s="53">
        <f>AA242/1000000*AA213</f>
        <v>152.25583353391048</v>
      </c>
    </row>
    <row r="185" spans="1:27" x14ac:dyDescent="0.25">
      <c r="A185" s="15" t="s">
        <v>135</v>
      </c>
      <c r="D185" s="57">
        <v>0</v>
      </c>
      <c r="E185" s="57">
        <v>0</v>
      </c>
      <c r="F185" s="57">
        <v>0</v>
      </c>
      <c r="G185" s="57">
        <v>0</v>
      </c>
      <c r="H185" s="57">
        <v>0</v>
      </c>
      <c r="I185" s="58">
        <v>0</v>
      </c>
      <c r="J185" s="57">
        <v>0</v>
      </c>
      <c r="K185" s="57">
        <v>0</v>
      </c>
      <c r="L185" s="57">
        <v>0</v>
      </c>
      <c r="M185" s="57">
        <v>0</v>
      </c>
      <c r="N185" s="57">
        <v>0</v>
      </c>
      <c r="O185" s="57">
        <v>0</v>
      </c>
      <c r="P185" s="57">
        <v>0</v>
      </c>
      <c r="R185" s="57">
        <v>0</v>
      </c>
      <c r="S185" s="57">
        <v>0</v>
      </c>
      <c r="T185" s="57">
        <v>0</v>
      </c>
      <c r="U185" s="57">
        <v>0</v>
      </c>
      <c r="W185" s="57">
        <f>SUM(R185:U185)</f>
        <v>0</v>
      </c>
      <c r="X185" s="57">
        <v>0</v>
      </c>
      <c r="Y185" s="57">
        <v>0</v>
      </c>
      <c r="Z185" s="57">
        <v>0</v>
      </c>
      <c r="AA185" s="57">
        <v>0</v>
      </c>
    </row>
    <row r="186" spans="1:27" x14ac:dyDescent="0.25">
      <c r="A186" s="10" t="s">
        <v>136</v>
      </c>
      <c r="D186" s="11">
        <f t="shared" ref="D186:U186" si="98">SUM(D182:D185)</f>
        <v>531.346</v>
      </c>
      <c r="E186" s="11">
        <f t="shared" si="98"/>
        <v>526.13799999999992</v>
      </c>
      <c r="F186" s="11">
        <f t="shared" si="98"/>
        <v>535.90100000000007</v>
      </c>
      <c r="G186" s="11">
        <f t="shared" si="98"/>
        <v>528.8420000000001</v>
      </c>
      <c r="H186" s="11">
        <f t="shared" si="98"/>
        <v>505.35999999999996</v>
      </c>
      <c r="I186" s="11">
        <f t="shared" si="98"/>
        <v>506.16499999999991</v>
      </c>
      <c r="J186" s="92">
        <f t="shared" si="98"/>
        <v>504.93700000000001</v>
      </c>
      <c r="K186" s="11">
        <f t="shared" si="98"/>
        <v>502.25099999999992</v>
      </c>
      <c r="L186" s="11">
        <f t="shared" si="98"/>
        <v>468.58300000000003</v>
      </c>
      <c r="M186" s="11">
        <f t="shared" si="98"/>
        <v>468.36700000000002</v>
      </c>
      <c r="N186" s="11">
        <f t="shared" si="98"/>
        <v>471.56099999999998</v>
      </c>
      <c r="O186" s="11">
        <f t="shared" si="98"/>
        <v>483.92600000000004</v>
      </c>
      <c r="P186" s="11">
        <f t="shared" si="98"/>
        <v>464.55099999999999</v>
      </c>
      <c r="R186" s="11">
        <f t="shared" si="98"/>
        <v>473.48058955804726</v>
      </c>
      <c r="S186" s="11">
        <f t="shared" si="98"/>
        <v>476.02843479069332</v>
      </c>
      <c r="T186" s="11">
        <f t="shared" si="98"/>
        <v>491.17627297863464</v>
      </c>
      <c r="U186" s="11">
        <f t="shared" si="98"/>
        <v>475.37528308326881</v>
      </c>
      <c r="W186" s="11">
        <f t="shared" ref="W186" si="99">SUM(W182:W185)</f>
        <v>1916.0605804106444</v>
      </c>
      <c r="X186" s="11">
        <f t="shared" ref="X186:AA186" si="100">SUM(X182:X185)</f>
        <v>1968.5503403566302</v>
      </c>
      <c r="Y186" s="11">
        <f t="shared" si="100"/>
        <v>2026.3421384890307</v>
      </c>
      <c r="Z186" s="11">
        <f t="shared" si="100"/>
        <v>2085.8676905654033</v>
      </c>
      <c r="AA186" s="11">
        <f t="shared" si="100"/>
        <v>2147.1790092040674</v>
      </c>
    </row>
    <row r="187" spans="1:27" x14ac:dyDescent="0.25">
      <c r="W187" s="43"/>
    </row>
    <row r="188" spans="1:27" s="33" customFormat="1" x14ac:dyDescent="0.25">
      <c r="A188" s="33" t="s">
        <v>237</v>
      </c>
      <c r="J188" s="139"/>
      <c r="N188" s="63"/>
      <c r="O188" s="63"/>
      <c r="P188" s="63"/>
      <c r="W188" s="46"/>
    </row>
    <row r="189" spans="1:27" s="33" customFormat="1" x14ac:dyDescent="0.25">
      <c r="A189" s="15" t="s">
        <v>129</v>
      </c>
      <c r="D189" s="55"/>
      <c r="E189" s="55">
        <f t="shared" ref="E189:K190" si="101">E177</f>
        <v>104.629</v>
      </c>
      <c r="F189" s="55">
        <f t="shared" si="101"/>
        <v>105.50700000000001</v>
      </c>
      <c r="G189" s="55">
        <f t="shared" si="101"/>
        <v>99.75</v>
      </c>
      <c r="H189" s="55">
        <f t="shared" si="101"/>
        <v>96.867000000000004</v>
      </c>
      <c r="I189" s="55">
        <f t="shared" si="101"/>
        <v>94.513000000000005</v>
      </c>
      <c r="J189" s="140">
        <f t="shared" si="101"/>
        <v>94.093999999999994</v>
      </c>
      <c r="K189" s="55">
        <f t="shared" si="101"/>
        <v>91.241999999999962</v>
      </c>
      <c r="L189" s="55">
        <f t="shared" ref="L189:N190" si="102">L177</f>
        <v>85.061999999999998</v>
      </c>
      <c r="M189" s="55">
        <f t="shared" si="102"/>
        <v>84.793999999999997</v>
      </c>
      <c r="N189" s="55">
        <f t="shared" si="102"/>
        <v>82.878</v>
      </c>
      <c r="O189" s="55">
        <f t="shared" ref="O189:P189" si="103">O177</f>
        <v>81.124000000000024</v>
      </c>
      <c r="P189" s="55">
        <f t="shared" si="103"/>
        <v>79.034999999999997</v>
      </c>
      <c r="R189" s="55">
        <f t="shared" ref="R189:U193" si="104">R237/1000000*R205</f>
        <v>83.752103049853375</v>
      </c>
      <c r="S189" s="55">
        <f t="shared" si="104"/>
        <v>82.308337374701665</v>
      </c>
      <c r="T189" s="55">
        <f t="shared" si="104"/>
        <v>82.184586439440068</v>
      </c>
      <c r="U189" s="55">
        <f t="shared" si="104"/>
        <v>81.005034975369469</v>
      </c>
      <c r="W189" s="55">
        <f>SUM(R189:U189)</f>
        <v>329.25006183936461</v>
      </c>
      <c r="X189" s="55">
        <f t="shared" ref="X189:AA193" si="105">X237/1000000*X205</f>
        <v>338.12509968434023</v>
      </c>
      <c r="Y189" s="55">
        <f t="shared" si="105"/>
        <v>348.2688526748704</v>
      </c>
      <c r="Z189" s="55">
        <f t="shared" si="105"/>
        <v>358.71691825511658</v>
      </c>
      <c r="AA189" s="55">
        <f t="shared" si="105"/>
        <v>369.47842580277006</v>
      </c>
    </row>
    <row r="190" spans="1:27" s="33" customFormat="1" x14ac:dyDescent="0.25">
      <c r="A190" s="15" t="s">
        <v>130</v>
      </c>
      <c r="D190" s="55"/>
      <c r="E190" s="55">
        <f t="shared" si="101"/>
        <v>40.292999999999999</v>
      </c>
      <c r="F190" s="55">
        <f t="shared" si="101"/>
        <v>40.548999999999999</v>
      </c>
      <c r="G190" s="55">
        <f t="shared" si="101"/>
        <v>38.325999999999993</v>
      </c>
      <c r="H190" s="55">
        <f t="shared" si="101"/>
        <v>37.930999999999997</v>
      </c>
      <c r="I190" s="55">
        <f t="shared" si="101"/>
        <v>37.603999999999999</v>
      </c>
      <c r="J190" s="140">
        <f t="shared" si="101"/>
        <v>36.497</v>
      </c>
      <c r="K190" s="55">
        <f t="shared" si="101"/>
        <v>34.474000000000004</v>
      </c>
      <c r="L190" s="55">
        <f t="shared" si="102"/>
        <v>31.975000000000001</v>
      </c>
      <c r="M190" s="55">
        <f t="shared" si="102"/>
        <v>32.485999999999997</v>
      </c>
      <c r="N190" s="55">
        <f t="shared" si="102"/>
        <v>32.378999999999998</v>
      </c>
      <c r="O190" s="55">
        <f t="shared" ref="O190:P190" si="106">O178</f>
        <v>30.917999999999992</v>
      </c>
      <c r="P190" s="55">
        <f t="shared" si="106"/>
        <v>30.052</v>
      </c>
      <c r="R190" s="55">
        <f t="shared" si="104"/>
        <v>32.061088060836497</v>
      </c>
      <c r="S190" s="55">
        <f t="shared" si="104"/>
        <v>31.964799072463762</v>
      </c>
      <c r="T190" s="55">
        <f t="shared" si="104"/>
        <v>31.062709616519165</v>
      </c>
      <c r="U190" s="55">
        <f t="shared" si="104"/>
        <v>30.675256263736266</v>
      </c>
      <c r="W190" s="55">
        <f t="shared" ref="W190:W193" si="107">SUM(R190:U190)</f>
        <v>125.76385301355569</v>
      </c>
      <c r="X190" s="55">
        <f t="shared" si="105"/>
        <v>129.01259525947566</v>
      </c>
      <c r="Y190" s="55">
        <f t="shared" si="105"/>
        <v>132.88297311725995</v>
      </c>
      <c r="Z190" s="55">
        <f t="shared" si="105"/>
        <v>136.86946231077775</v>
      </c>
      <c r="AA190" s="55">
        <f t="shared" si="105"/>
        <v>140.97554618010111</v>
      </c>
    </row>
    <row r="191" spans="1:27" x14ac:dyDescent="0.25">
      <c r="A191" s="15" t="s">
        <v>131</v>
      </c>
      <c r="D191" s="53"/>
      <c r="E191" s="53">
        <f t="shared" ref="E191:N191" si="108">E179-E$74*(E231/E$234)</f>
        <v>125.41659849624061</v>
      </c>
      <c r="F191" s="53">
        <f t="shared" si="108"/>
        <v>133.12198657384386</v>
      </c>
      <c r="G191" s="53">
        <f t="shared" si="108"/>
        <v>125.28118705035969</v>
      </c>
      <c r="H191" s="53">
        <f t="shared" si="108"/>
        <v>122.41442980935875</v>
      </c>
      <c r="I191" s="53">
        <f t="shared" si="108"/>
        <v>126.78975529295913</v>
      </c>
      <c r="J191" s="53">
        <f t="shared" si="108"/>
        <v>131.98923371554039</v>
      </c>
      <c r="K191" s="53">
        <f t="shared" si="108"/>
        <v>126.00041429261225</v>
      </c>
      <c r="L191" s="53">
        <f t="shared" si="108"/>
        <v>116.87912759856631</v>
      </c>
      <c r="M191" s="53">
        <f t="shared" si="108"/>
        <v>118.21506081400852</v>
      </c>
      <c r="N191" s="53">
        <f t="shared" si="108"/>
        <v>126.01733239568682</v>
      </c>
      <c r="O191" s="53">
        <f t="shared" ref="O191:P191" si="109">O179-O$74*(O231/O$234)</f>
        <v>124.20844979176307</v>
      </c>
      <c r="P191" s="53">
        <f t="shared" si="109"/>
        <v>122.83830002276348</v>
      </c>
      <c r="R191" s="55">
        <f t="shared" si="104"/>
        <v>124.32236984868145</v>
      </c>
      <c r="S191" s="55">
        <f t="shared" si="104"/>
        <v>132.11885935624829</v>
      </c>
      <c r="T191" s="55">
        <f t="shared" si="104"/>
        <v>129.18163021812333</v>
      </c>
      <c r="U191" s="55">
        <f t="shared" si="104"/>
        <v>126.91546590655543</v>
      </c>
      <c r="W191" s="55">
        <f t="shared" si="107"/>
        <v>512.5383253296086</v>
      </c>
      <c r="X191" s="55">
        <f t="shared" si="105"/>
        <v>528.76052433009147</v>
      </c>
      <c r="Y191" s="55">
        <f t="shared" si="105"/>
        <v>544.62334005999423</v>
      </c>
      <c r="Z191" s="55">
        <f t="shared" si="105"/>
        <v>560.96204026179407</v>
      </c>
      <c r="AA191" s="55">
        <f t="shared" si="105"/>
        <v>577.79090146964791</v>
      </c>
    </row>
    <row r="192" spans="1:27" x14ac:dyDescent="0.25">
      <c r="A192" s="15" t="s">
        <v>132</v>
      </c>
      <c r="E192" s="53">
        <f t="shared" ref="E192:N192" si="110">E180-E$74*(E232/E$234)</f>
        <v>80.348302255639098</v>
      </c>
      <c r="F192" s="53">
        <f t="shared" si="110"/>
        <v>81.703563152660365</v>
      </c>
      <c r="G192" s="53">
        <f t="shared" si="110"/>
        <v>83.423424460431676</v>
      </c>
      <c r="H192" s="53">
        <f t="shared" si="110"/>
        <v>82.069386481802425</v>
      </c>
      <c r="I192" s="53">
        <f t="shared" si="110"/>
        <v>80.073844165435744</v>
      </c>
      <c r="J192" s="53">
        <f t="shared" si="110"/>
        <v>80.635455476945609</v>
      </c>
      <c r="K192" s="53">
        <f t="shared" si="110"/>
        <v>80.160467889908261</v>
      </c>
      <c r="L192" s="53">
        <f t="shared" si="110"/>
        <v>79.893985663082447</v>
      </c>
      <c r="M192" s="53">
        <f t="shared" si="110"/>
        <v>79.051873876005686</v>
      </c>
      <c r="N192" s="53">
        <f t="shared" si="110"/>
        <v>79.161035161744024</v>
      </c>
      <c r="O192" s="53">
        <f t="shared" ref="O192:P192" si="111">O180-O$74*(O232/O$234)</f>
        <v>83.073108745950961</v>
      </c>
      <c r="P192" s="53">
        <f t="shared" si="111"/>
        <v>80.518793079899837</v>
      </c>
      <c r="R192" s="55">
        <f t="shared" si="104"/>
        <v>79.887782835725559</v>
      </c>
      <c r="S192" s="55">
        <f t="shared" si="104"/>
        <v>79.746893624502263</v>
      </c>
      <c r="T192" s="55">
        <f t="shared" si="104"/>
        <v>84.113812576466387</v>
      </c>
      <c r="U192" s="55">
        <f t="shared" si="104"/>
        <v>82.330552132755486</v>
      </c>
      <c r="W192" s="55">
        <f t="shared" si="107"/>
        <v>326.07904116944968</v>
      </c>
      <c r="X192" s="55">
        <f t="shared" si="105"/>
        <v>335.05297943769057</v>
      </c>
      <c r="Y192" s="55">
        <f t="shared" si="105"/>
        <v>345.10456882082138</v>
      </c>
      <c r="Z192" s="55">
        <f t="shared" si="105"/>
        <v>355.45770588544599</v>
      </c>
      <c r="AA192" s="55">
        <f t="shared" si="105"/>
        <v>366.12143706200942</v>
      </c>
    </row>
    <row r="193" spans="1:27" x14ac:dyDescent="0.25">
      <c r="A193" s="15" t="s">
        <v>133</v>
      </c>
      <c r="E193" s="57">
        <f t="shared" ref="E193:N193" si="112">E181-E$74*(E233/E$234)</f>
        <v>132.16909924812029</v>
      </c>
      <c r="F193" s="57">
        <f t="shared" si="112"/>
        <v>132.65545027349577</v>
      </c>
      <c r="G193" s="57">
        <f t="shared" si="112"/>
        <v>131.3423884892087</v>
      </c>
      <c r="H193" s="57">
        <f t="shared" si="112"/>
        <v>124.94018370883882</v>
      </c>
      <c r="I193" s="57">
        <f t="shared" si="112"/>
        <v>124.77840054160511</v>
      </c>
      <c r="J193" s="57">
        <f t="shared" si="112"/>
        <v>123.02931080751402</v>
      </c>
      <c r="K193" s="57">
        <f t="shared" si="112"/>
        <v>124.18211781747948</v>
      </c>
      <c r="L193" s="57">
        <f t="shared" si="112"/>
        <v>115.60788673835125</v>
      </c>
      <c r="M193" s="57">
        <f t="shared" si="112"/>
        <v>112.59506530998581</v>
      </c>
      <c r="N193" s="57">
        <f t="shared" si="112"/>
        <v>111.20863244256915</v>
      </c>
      <c r="O193" s="57">
        <f t="shared" ref="O193:P193" si="113">O181-O$74*(O233/O$234)</f>
        <v>115.53344146228596</v>
      </c>
      <c r="P193" s="57">
        <f t="shared" si="113"/>
        <v>109.91990689733667</v>
      </c>
      <c r="R193" s="62">
        <f t="shared" si="104"/>
        <v>109.83299926428082</v>
      </c>
      <c r="S193" s="62">
        <f t="shared" si="104"/>
        <v>108.35489990701508</v>
      </c>
      <c r="T193" s="62">
        <f t="shared" si="104"/>
        <v>115.10514957360337</v>
      </c>
      <c r="U193" s="62">
        <f t="shared" si="104"/>
        <v>111.88334332692517</v>
      </c>
      <c r="W193" s="62">
        <f t="shared" si="107"/>
        <v>445.17639207182441</v>
      </c>
      <c r="X193" s="62">
        <f t="shared" si="105"/>
        <v>456.10641622200245</v>
      </c>
      <c r="Y193" s="62">
        <f t="shared" si="105"/>
        <v>469.78960870866251</v>
      </c>
      <c r="Z193" s="62">
        <f t="shared" si="105"/>
        <v>483.88329696992236</v>
      </c>
      <c r="AA193" s="62">
        <f t="shared" si="105"/>
        <v>498.39979587902002</v>
      </c>
    </row>
    <row r="194" spans="1:27" s="33" customFormat="1" x14ac:dyDescent="0.25">
      <c r="A194" s="33" t="s">
        <v>239</v>
      </c>
      <c r="E194" s="63">
        <f t="shared" ref="E194:K194" si="114">SUM(E189:E193)</f>
        <v>482.85599999999999</v>
      </c>
      <c r="F194" s="63">
        <f t="shared" si="114"/>
        <v>493.53700000000003</v>
      </c>
      <c r="G194" s="63">
        <f t="shared" si="114"/>
        <v>478.12300000000005</v>
      </c>
      <c r="H194" s="63">
        <f t="shared" si="114"/>
        <v>464.22199999999998</v>
      </c>
      <c r="I194" s="63">
        <f t="shared" si="114"/>
        <v>463.75899999999996</v>
      </c>
      <c r="J194" s="141">
        <f t="shared" si="114"/>
        <v>466.24500000000006</v>
      </c>
      <c r="K194" s="63">
        <f t="shared" si="114"/>
        <v>456.05899999999997</v>
      </c>
      <c r="L194" s="63">
        <f>SUM(L189:L193)</f>
        <v>429.41800000000001</v>
      </c>
      <c r="M194" s="63">
        <f>SUM(M189:M193)</f>
        <v>427.14200000000005</v>
      </c>
      <c r="N194" s="63">
        <f>SUM(N189:N193)</f>
        <v>431.64400000000001</v>
      </c>
      <c r="O194" s="63">
        <f>SUM(O189:O193)</f>
        <v>434.85700000000003</v>
      </c>
      <c r="P194" s="63">
        <f>SUM(P189:P193)</f>
        <v>422.36399999999992</v>
      </c>
      <c r="R194" s="63">
        <f>SUM(R189:R193)</f>
        <v>429.85634305937771</v>
      </c>
      <c r="S194" s="63">
        <f t="shared" ref="S194:U194" si="115">SUM(S189:S193)</f>
        <v>434.49378933493102</v>
      </c>
      <c r="T194" s="63">
        <f t="shared" si="115"/>
        <v>441.64788842415237</v>
      </c>
      <c r="U194" s="63">
        <f t="shared" si="115"/>
        <v>432.8096526053418</v>
      </c>
      <c r="W194" s="63">
        <f>SUM(W189:W193)</f>
        <v>1738.807673423803</v>
      </c>
      <c r="X194" s="63">
        <f t="shared" ref="X194:AA194" si="116">SUM(X189:X193)</f>
        <v>1787.0576149336005</v>
      </c>
      <c r="Y194" s="63">
        <f t="shared" si="116"/>
        <v>1840.6693433816085</v>
      </c>
      <c r="Z194" s="63">
        <f t="shared" si="116"/>
        <v>1895.889423683057</v>
      </c>
      <c r="AA194" s="63">
        <f t="shared" si="116"/>
        <v>1952.7661063935486</v>
      </c>
    </row>
    <row r="196" spans="1:27" x14ac:dyDescent="0.25">
      <c r="A196" s="10" t="s">
        <v>211</v>
      </c>
      <c r="D196" s="21"/>
      <c r="E196" s="21"/>
      <c r="F196" s="21"/>
      <c r="G196" s="21"/>
      <c r="H196" s="21"/>
      <c r="I196" s="21"/>
      <c r="J196" s="21"/>
      <c r="K196" s="21"/>
      <c r="L196" s="21"/>
      <c r="M196" s="21"/>
      <c r="N196" s="21"/>
      <c r="O196" s="21"/>
      <c r="P196" s="21"/>
    </row>
    <row r="197" spans="1:27" x14ac:dyDescent="0.25">
      <c r="A197" s="64" t="s">
        <v>182</v>
      </c>
      <c r="D197" s="21">
        <f t="shared" ref="D197:N197" si="117">D511</f>
        <v>1016</v>
      </c>
      <c r="E197" s="21">
        <f t="shared" si="117"/>
        <v>1002</v>
      </c>
      <c r="F197" s="21">
        <f t="shared" si="117"/>
        <v>978</v>
      </c>
      <c r="G197" s="21">
        <f t="shared" si="117"/>
        <v>953</v>
      </c>
      <c r="H197" s="21">
        <f t="shared" si="117"/>
        <v>937</v>
      </c>
      <c r="I197" s="21">
        <f t="shared" si="117"/>
        <v>912</v>
      </c>
      <c r="J197" s="21">
        <f t="shared" si="117"/>
        <v>882</v>
      </c>
      <c r="K197" s="21">
        <f t="shared" si="117"/>
        <v>862</v>
      </c>
      <c r="L197" s="21">
        <f t="shared" si="117"/>
        <v>856</v>
      </c>
      <c r="M197" s="21">
        <f t="shared" si="117"/>
        <v>849</v>
      </c>
      <c r="N197" s="21">
        <f t="shared" si="117"/>
        <v>827</v>
      </c>
      <c r="O197" s="21">
        <f t="shared" ref="O197:P197" si="118">O511</f>
        <v>816</v>
      </c>
      <c r="P197" s="21">
        <f t="shared" si="118"/>
        <v>808</v>
      </c>
      <c r="R197" s="21">
        <f>R511</f>
        <v>808</v>
      </c>
      <c r="S197" s="21">
        <f>S511</f>
        <v>808</v>
      </c>
      <c r="T197" s="21">
        <f>T511</f>
        <v>808</v>
      </c>
      <c r="U197" s="21">
        <f>U511</f>
        <v>808</v>
      </c>
      <c r="W197" s="21">
        <f>U197</f>
        <v>808</v>
      </c>
      <c r="X197" s="21">
        <f>X511</f>
        <v>808</v>
      </c>
      <c r="Y197" s="21">
        <f>Y511</f>
        <v>808</v>
      </c>
      <c r="Z197" s="21">
        <f>Z511</f>
        <v>808</v>
      </c>
      <c r="AA197" s="21">
        <f>AA511</f>
        <v>808</v>
      </c>
    </row>
    <row r="198" spans="1:27" x14ac:dyDescent="0.25">
      <c r="A198" s="64" t="s">
        <v>130</v>
      </c>
      <c r="D198" s="21">
        <f t="shared" ref="D198:N198" si="119">D524</f>
        <v>590</v>
      </c>
      <c r="E198" s="21">
        <f t="shared" si="119"/>
        <v>587</v>
      </c>
      <c r="F198" s="21">
        <f t="shared" si="119"/>
        <v>578</v>
      </c>
      <c r="G198" s="21">
        <f t="shared" si="119"/>
        <v>569</v>
      </c>
      <c r="H198" s="21">
        <f t="shared" si="119"/>
        <v>566</v>
      </c>
      <c r="I198" s="21">
        <f t="shared" si="119"/>
        <v>556</v>
      </c>
      <c r="J198" s="21">
        <f t="shared" si="119"/>
        <v>541</v>
      </c>
      <c r="K198" s="21">
        <f t="shared" si="119"/>
        <v>532</v>
      </c>
      <c r="L198" s="21">
        <f t="shared" si="119"/>
        <v>529</v>
      </c>
      <c r="M198" s="21">
        <f t="shared" si="119"/>
        <v>523</v>
      </c>
      <c r="N198" s="21">
        <f t="shared" si="119"/>
        <v>512</v>
      </c>
      <c r="O198" s="21">
        <f t="shared" ref="O198:P198" si="120">O524</f>
        <v>505</v>
      </c>
      <c r="P198" s="21">
        <f t="shared" si="120"/>
        <v>496</v>
      </c>
      <c r="R198" s="21">
        <f>R524</f>
        <v>496</v>
      </c>
      <c r="S198" s="21">
        <f>S524</f>
        <v>496</v>
      </c>
      <c r="T198" s="21">
        <f>T524</f>
        <v>496</v>
      </c>
      <c r="U198" s="21">
        <f>U524</f>
        <v>496</v>
      </c>
      <c r="W198" s="21">
        <f t="shared" ref="W198:W201" si="121">U198</f>
        <v>496</v>
      </c>
      <c r="X198" s="21">
        <f>X524</f>
        <v>496</v>
      </c>
      <c r="Y198" s="21">
        <f>Y524</f>
        <v>496</v>
      </c>
      <c r="Z198" s="21">
        <f>Z524</f>
        <v>496</v>
      </c>
      <c r="AA198" s="21">
        <f>AA524</f>
        <v>496</v>
      </c>
    </row>
    <row r="199" spans="1:27" x14ac:dyDescent="0.25">
      <c r="A199" s="64" t="s">
        <v>194</v>
      </c>
      <c r="D199" s="21">
        <f t="shared" ref="D199:N199" si="122">D537</f>
        <v>2407</v>
      </c>
      <c r="E199" s="21">
        <f t="shared" si="122"/>
        <v>2423</v>
      </c>
      <c r="F199" s="21">
        <f t="shared" si="122"/>
        <v>2432</v>
      </c>
      <c r="G199" s="21">
        <f t="shared" si="122"/>
        <v>2441</v>
      </c>
      <c r="H199" s="21">
        <f t="shared" si="122"/>
        <v>2453</v>
      </c>
      <c r="I199" s="21">
        <f t="shared" si="122"/>
        <v>2470</v>
      </c>
      <c r="J199" s="21">
        <f t="shared" si="122"/>
        <v>2484</v>
      </c>
      <c r="K199" s="21">
        <f t="shared" si="122"/>
        <v>2490</v>
      </c>
      <c r="L199" s="21">
        <f t="shared" si="122"/>
        <v>2507</v>
      </c>
      <c r="M199" s="21">
        <f t="shared" si="122"/>
        <v>2533</v>
      </c>
      <c r="N199" s="21">
        <f t="shared" si="122"/>
        <v>2556</v>
      </c>
      <c r="O199" s="21">
        <f t="shared" ref="O199:P199" si="123">O537</f>
        <v>2574</v>
      </c>
      <c r="P199" s="21">
        <f t="shared" si="123"/>
        <v>2590</v>
      </c>
      <c r="R199" s="21">
        <f>R537</f>
        <v>2590</v>
      </c>
      <c r="S199" s="21">
        <f>S537</f>
        <v>2590</v>
      </c>
      <c r="T199" s="21">
        <f>T537</f>
        <v>2590</v>
      </c>
      <c r="U199" s="21">
        <f>U537</f>
        <v>2590</v>
      </c>
      <c r="W199" s="21">
        <f t="shared" si="121"/>
        <v>2590</v>
      </c>
      <c r="X199" s="21">
        <f>X537</f>
        <v>2590</v>
      </c>
      <c r="Y199" s="21">
        <f>Y537</f>
        <v>2590</v>
      </c>
      <c r="Z199" s="21">
        <f>Z537</f>
        <v>2590</v>
      </c>
      <c r="AA199" s="21">
        <f>AA537</f>
        <v>2590</v>
      </c>
    </row>
    <row r="200" spans="1:27" x14ac:dyDescent="0.25">
      <c r="A200" s="64" t="s">
        <v>132</v>
      </c>
      <c r="D200" s="21">
        <f t="shared" ref="D200:N200" si="124">D550</f>
        <v>1181</v>
      </c>
      <c r="E200" s="21">
        <f t="shared" si="124"/>
        <v>1212</v>
      </c>
      <c r="F200" s="21">
        <f t="shared" si="124"/>
        <v>1216</v>
      </c>
      <c r="G200" s="21">
        <f t="shared" si="124"/>
        <v>1228</v>
      </c>
      <c r="H200" s="21">
        <f t="shared" si="124"/>
        <v>1226</v>
      </c>
      <c r="I200" s="21">
        <f t="shared" si="124"/>
        <v>1226</v>
      </c>
      <c r="J200" s="21">
        <f t="shared" si="124"/>
        <v>1226</v>
      </c>
      <c r="K200" s="21">
        <f t="shared" si="124"/>
        <v>1210</v>
      </c>
      <c r="L200" s="21">
        <f t="shared" si="124"/>
        <v>1198</v>
      </c>
      <c r="M200" s="21">
        <f t="shared" si="124"/>
        <v>1188</v>
      </c>
      <c r="N200" s="21">
        <f t="shared" si="124"/>
        <v>1182</v>
      </c>
      <c r="O200" s="21">
        <f t="shared" ref="O200:P200" si="125">O550</f>
        <v>1176</v>
      </c>
      <c r="P200" s="21">
        <f t="shared" si="125"/>
        <v>1159</v>
      </c>
      <c r="R200" s="21">
        <f>R550</f>
        <v>1159</v>
      </c>
      <c r="S200" s="21">
        <f>S550</f>
        <v>1159</v>
      </c>
      <c r="T200" s="21">
        <f>T550</f>
        <v>1159</v>
      </c>
      <c r="U200" s="21">
        <f>U550</f>
        <v>1159</v>
      </c>
      <c r="W200" s="21">
        <f t="shared" si="121"/>
        <v>1159</v>
      </c>
      <c r="X200" s="21">
        <f>X550</f>
        <v>1159</v>
      </c>
      <c r="Y200" s="21">
        <f>Y550</f>
        <v>1159</v>
      </c>
      <c r="Z200" s="21">
        <f>Z550</f>
        <v>1159</v>
      </c>
      <c r="AA200" s="21">
        <f>AA550</f>
        <v>1159</v>
      </c>
    </row>
    <row r="201" spans="1:27" x14ac:dyDescent="0.25">
      <c r="A201" s="64" t="s">
        <v>133</v>
      </c>
      <c r="D201" s="66">
        <f t="shared" ref="D201:N201" si="126">D563</f>
        <v>2293</v>
      </c>
      <c r="E201" s="66">
        <f t="shared" si="126"/>
        <v>2222</v>
      </c>
      <c r="F201" s="66">
        <f t="shared" si="126"/>
        <v>2161</v>
      </c>
      <c r="G201" s="66">
        <f t="shared" si="126"/>
        <v>2133</v>
      </c>
      <c r="H201" s="66">
        <f t="shared" si="126"/>
        <v>2106</v>
      </c>
      <c r="I201" s="66">
        <f t="shared" si="126"/>
        <v>2056</v>
      </c>
      <c r="J201" s="66">
        <f t="shared" si="126"/>
        <v>2029</v>
      </c>
      <c r="K201" s="66">
        <f t="shared" si="126"/>
        <v>1990</v>
      </c>
      <c r="L201" s="66">
        <f t="shared" si="126"/>
        <v>1961</v>
      </c>
      <c r="M201" s="66">
        <f t="shared" si="126"/>
        <v>1930</v>
      </c>
      <c r="N201" s="66">
        <f t="shared" si="126"/>
        <v>1882</v>
      </c>
      <c r="O201" s="66">
        <f t="shared" ref="O201:P201" si="127">O563</f>
        <v>1846</v>
      </c>
      <c r="P201" s="66">
        <f t="shared" si="127"/>
        <v>1803</v>
      </c>
      <c r="R201" s="66">
        <f>R563</f>
        <v>1803</v>
      </c>
      <c r="S201" s="66">
        <f>S563</f>
        <v>1803</v>
      </c>
      <c r="T201" s="66">
        <f>T563</f>
        <v>1803</v>
      </c>
      <c r="U201" s="66">
        <f>U563</f>
        <v>1803</v>
      </c>
      <c r="W201" s="66">
        <f t="shared" si="121"/>
        <v>1803</v>
      </c>
      <c r="X201" s="66">
        <f>X563</f>
        <v>1803</v>
      </c>
      <c r="Y201" s="66">
        <f>Y563</f>
        <v>1803</v>
      </c>
      <c r="Z201" s="66">
        <f>Z563</f>
        <v>1803</v>
      </c>
      <c r="AA201" s="66">
        <f>AA563</f>
        <v>1803</v>
      </c>
    </row>
    <row r="202" spans="1:27" x14ac:dyDescent="0.25">
      <c r="A202" s="10" t="s">
        <v>212</v>
      </c>
      <c r="D202" s="24">
        <f t="shared" ref="D202:N202" si="128">SUM(D197:D201)</f>
        <v>7487</v>
      </c>
      <c r="E202" s="24">
        <f t="shared" si="128"/>
        <v>7446</v>
      </c>
      <c r="F202" s="24">
        <f t="shared" si="128"/>
        <v>7365</v>
      </c>
      <c r="G202" s="24">
        <f t="shared" si="128"/>
        <v>7324</v>
      </c>
      <c r="H202" s="24">
        <f t="shared" si="128"/>
        <v>7288</v>
      </c>
      <c r="I202" s="24">
        <f t="shared" si="128"/>
        <v>7220</v>
      </c>
      <c r="J202" s="25">
        <f t="shared" si="128"/>
        <v>7162</v>
      </c>
      <c r="K202" s="24">
        <f t="shared" si="128"/>
        <v>7084</v>
      </c>
      <c r="L202" s="24">
        <f t="shared" si="128"/>
        <v>7051</v>
      </c>
      <c r="M202" s="24">
        <f t="shared" si="128"/>
        <v>7023</v>
      </c>
      <c r="N202" s="24">
        <f t="shared" si="128"/>
        <v>6959</v>
      </c>
      <c r="O202" s="24">
        <f t="shared" ref="O202:P202" si="129">SUM(O197:O201)</f>
        <v>6917</v>
      </c>
      <c r="P202" s="24">
        <f t="shared" si="129"/>
        <v>6856</v>
      </c>
      <c r="R202" s="24">
        <f t="shared" ref="R202:U202" si="130">SUM(R197:R201)</f>
        <v>6856</v>
      </c>
      <c r="S202" s="24">
        <f t="shared" si="130"/>
        <v>6856</v>
      </c>
      <c r="T202" s="24">
        <f t="shared" si="130"/>
        <v>6856</v>
      </c>
      <c r="U202" s="24">
        <f t="shared" si="130"/>
        <v>6856</v>
      </c>
      <c r="W202" s="24">
        <f t="shared" ref="W202:AA202" si="131">SUM(W197:W201)</f>
        <v>6856</v>
      </c>
      <c r="X202" s="24">
        <f t="shared" si="131"/>
        <v>6856</v>
      </c>
      <c r="Y202" s="24">
        <f t="shared" si="131"/>
        <v>6856</v>
      </c>
      <c r="Z202" s="24">
        <f t="shared" si="131"/>
        <v>6856</v>
      </c>
      <c r="AA202" s="24">
        <f t="shared" si="131"/>
        <v>6856</v>
      </c>
    </row>
    <row r="203" spans="1:27" x14ac:dyDescent="0.25">
      <c r="A203" s="10"/>
      <c r="D203" s="21"/>
      <c r="E203" s="21"/>
      <c r="F203" s="21"/>
      <c r="G203" s="21"/>
      <c r="H203" s="21"/>
      <c r="I203" s="21"/>
      <c r="J203" s="21"/>
      <c r="K203" s="21"/>
      <c r="L203" s="21"/>
      <c r="M203" s="21"/>
      <c r="N203" s="21"/>
      <c r="O203" s="21"/>
      <c r="P203" s="21"/>
    </row>
    <row r="204" spans="1:27" x14ac:dyDescent="0.25">
      <c r="A204" s="10" t="s">
        <v>213</v>
      </c>
      <c r="D204" s="21"/>
      <c r="E204" s="21"/>
      <c r="F204" s="21"/>
      <c r="G204" s="21"/>
      <c r="H204" s="21"/>
      <c r="I204" s="21"/>
      <c r="J204" s="21"/>
      <c r="K204" s="21"/>
      <c r="L204" s="21"/>
      <c r="M204" s="21"/>
      <c r="N204" s="21"/>
      <c r="O204" s="21"/>
      <c r="P204" s="21"/>
    </row>
    <row r="205" spans="1:27" x14ac:dyDescent="0.25">
      <c r="A205" s="64" t="s">
        <v>182</v>
      </c>
      <c r="D205" s="20">
        <f>AVERAGE(D501,D511)</f>
        <v>1019.5</v>
      </c>
      <c r="E205" s="20">
        <f t="shared" ref="E205:J209" si="132">AVERAGE(D197:E197)</f>
        <v>1009</v>
      </c>
      <c r="F205" s="20">
        <f t="shared" si="132"/>
        <v>990</v>
      </c>
      <c r="G205" s="20">
        <f t="shared" si="132"/>
        <v>965.5</v>
      </c>
      <c r="H205" s="20">
        <f t="shared" si="132"/>
        <v>945</v>
      </c>
      <c r="I205" s="20">
        <f t="shared" si="132"/>
        <v>924.5</v>
      </c>
      <c r="J205" s="20">
        <f t="shared" si="132"/>
        <v>897</v>
      </c>
      <c r="K205" s="20">
        <f t="shared" ref="K205:P209" si="133">AVERAGE(J197:K197)</f>
        <v>872</v>
      </c>
      <c r="L205" s="20">
        <f t="shared" si="133"/>
        <v>859</v>
      </c>
      <c r="M205" s="20">
        <f t="shared" si="133"/>
        <v>852.5</v>
      </c>
      <c r="N205" s="20">
        <f t="shared" si="133"/>
        <v>838</v>
      </c>
      <c r="O205" s="20">
        <f t="shared" si="133"/>
        <v>821.5</v>
      </c>
      <c r="P205" s="20">
        <f t="shared" si="133"/>
        <v>812</v>
      </c>
      <c r="R205" s="67">
        <f>AVERAGE(R197,N197)</f>
        <v>817.5</v>
      </c>
      <c r="S205" s="67">
        <f>AVERAGE(R197:S197)</f>
        <v>808</v>
      </c>
      <c r="T205" s="67">
        <f t="shared" ref="T205:U205" si="134">AVERAGE(S197:T197)</f>
        <v>808</v>
      </c>
      <c r="U205" s="67">
        <f t="shared" si="134"/>
        <v>808</v>
      </c>
      <c r="W205" s="67">
        <f>AVERAGE(W197,P197)</f>
        <v>808</v>
      </c>
      <c r="X205" s="67">
        <f>AVERAGE(X197,U197)</f>
        <v>808</v>
      </c>
      <c r="Y205" s="67">
        <f>AVERAGE(X197:Y197)</f>
        <v>808</v>
      </c>
      <c r="Z205" s="67">
        <f t="shared" ref="Z205:AA205" si="135">AVERAGE(Y197:Z197)</f>
        <v>808</v>
      </c>
      <c r="AA205" s="67">
        <f t="shared" si="135"/>
        <v>808</v>
      </c>
    </row>
    <row r="206" spans="1:27" x14ac:dyDescent="0.25">
      <c r="A206" s="64" t="s">
        <v>130</v>
      </c>
      <c r="D206" s="20">
        <f>AVERAGE(D514,D524)</f>
        <v>589</v>
      </c>
      <c r="E206" s="20">
        <f t="shared" si="132"/>
        <v>588.5</v>
      </c>
      <c r="F206" s="20">
        <f t="shared" si="132"/>
        <v>582.5</v>
      </c>
      <c r="G206" s="20">
        <f t="shared" si="132"/>
        <v>573.5</v>
      </c>
      <c r="H206" s="20">
        <f t="shared" si="132"/>
        <v>567.5</v>
      </c>
      <c r="I206" s="20">
        <f t="shared" si="132"/>
        <v>561</v>
      </c>
      <c r="J206" s="20">
        <f t="shared" si="132"/>
        <v>548.5</v>
      </c>
      <c r="K206" s="20">
        <f t="shared" si="133"/>
        <v>536.5</v>
      </c>
      <c r="L206" s="20">
        <f t="shared" si="133"/>
        <v>530.5</v>
      </c>
      <c r="M206" s="20">
        <f t="shared" si="133"/>
        <v>526</v>
      </c>
      <c r="N206" s="20">
        <f t="shared" si="133"/>
        <v>517.5</v>
      </c>
      <c r="O206" s="20">
        <f t="shared" si="133"/>
        <v>508.5</v>
      </c>
      <c r="P206" s="20">
        <f t="shared" si="133"/>
        <v>500.5</v>
      </c>
      <c r="R206" s="67">
        <f t="shared" ref="R206:R209" si="136">AVERAGE(R198,N198)</f>
        <v>504</v>
      </c>
      <c r="S206" s="67">
        <f t="shared" ref="S206:U206" si="137">AVERAGE(R198:S198)</f>
        <v>496</v>
      </c>
      <c r="T206" s="67">
        <f t="shared" si="137"/>
        <v>496</v>
      </c>
      <c r="U206" s="67">
        <f t="shared" si="137"/>
        <v>496</v>
      </c>
      <c r="W206" s="67">
        <f t="shared" ref="W206:W209" si="138">AVERAGE(W198,P198)</f>
        <v>496</v>
      </c>
      <c r="X206" s="67">
        <f t="shared" ref="X206:X209" si="139">AVERAGE(X198,U198)</f>
        <v>496</v>
      </c>
      <c r="Y206" s="67">
        <f t="shared" ref="Y206:AA206" si="140">AVERAGE(X198:Y198)</f>
        <v>496</v>
      </c>
      <c r="Z206" s="67">
        <f t="shared" si="140"/>
        <v>496</v>
      </c>
      <c r="AA206" s="67">
        <f t="shared" si="140"/>
        <v>496</v>
      </c>
    </row>
    <row r="207" spans="1:27" x14ac:dyDescent="0.25">
      <c r="A207" s="64" t="s">
        <v>194</v>
      </c>
      <c r="D207" s="20">
        <f>AVERAGE(D527,D537)</f>
        <v>2400</v>
      </c>
      <c r="E207" s="20">
        <f t="shared" si="132"/>
        <v>2415</v>
      </c>
      <c r="F207" s="20">
        <f t="shared" si="132"/>
        <v>2427.5</v>
      </c>
      <c r="G207" s="20">
        <f t="shared" si="132"/>
        <v>2436.5</v>
      </c>
      <c r="H207" s="20">
        <f t="shared" si="132"/>
        <v>2447</v>
      </c>
      <c r="I207" s="20">
        <f t="shared" si="132"/>
        <v>2461.5</v>
      </c>
      <c r="J207" s="20">
        <f t="shared" si="132"/>
        <v>2477</v>
      </c>
      <c r="K207" s="20">
        <f t="shared" si="133"/>
        <v>2487</v>
      </c>
      <c r="L207" s="20">
        <f t="shared" si="133"/>
        <v>2498.5</v>
      </c>
      <c r="M207" s="20">
        <f t="shared" si="133"/>
        <v>2520</v>
      </c>
      <c r="N207" s="20">
        <f t="shared" si="133"/>
        <v>2544.5</v>
      </c>
      <c r="O207" s="20">
        <f t="shared" si="133"/>
        <v>2565</v>
      </c>
      <c r="P207" s="20">
        <f t="shared" si="133"/>
        <v>2582</v>
      </c>
      <c r="R207" s="67">
        <f t="shared" si="136"/>
        <v>2573</v>
      </c>
      <c r="S207" s="67">
        <f t="shared" ref="S207:U207" si="141">AVERAGE(R199:S199)</f>
        <v>2590</v>
      </c>
      <c r="T207" s="67">
        <f t="shared" si="141"/>
        <v>2590</v>
      </c>
      <c r="U207" s="67">
        <f t="shared" si="141"/>
        <v>2590</v>
      </c>
      <c r="W207" s="67">
        <f t="shared" si="138"/>
        <v>2590</v>
      </c>
      <c r="X207" s="67">
        <f t="shared" si="139"/>
        <v>2590</v>
      </c>
      <c r="Y207" s="67">
        <f t="shared" ref="Y207:AA207" si="142">AVERAGE(X199:Y199)</f>
        <v>2590</v>
      </c>
      <c r="Z207" s="67">
        <f t="shared" si="142"/>
        <v>2590</v>
      </c>
      <c r="AA207" s="67">
        <f t="shared" si="142"/>
        <v>2590</v>
      </c>
    </row>
    <row r="208" spans="1:27" x14ac:dyDescent="0.25">
      <c r="A208" s="64" t="s">
        <v>132</v>
      </c>
      <c r="D208" s="20">
        <f>AVERAGE(D540,D550)</f>
        <v>1169.5</v>
      </c>
      <c r="E208" s="20">
        <f t="shared" si="132"/>
        <v>1196.5</v>
      </c>
      <c r="F208" s="20">
        <f t="shared" si="132"/>
        <v>1214</v>
      </c>
      <c r="G208" s="20">
        <f t="shared" si="132"/>
        <v>1222</v>
      </c>
      <c r="H208" s="20">
        <f t="shared" si="132"/>
        <v>1227</v>
      </c>
      <c r="I208" s="20">
        <f t="shared" si="132"/>
        <v>1226</v>
      </c>
      <c r="J208" s="20">
        <f t="shared" si="132"/>
        <v>1226</v>
      </c>
      <c r="K208" s="20">
        <f t="shared" si="133"/>
        <v>1218</v>
      </c>
      <c r="L208" s="20">
        <f t="shared" si="133"/>
        <v>1204</v>
      </c>
      <c r="M208" s="20">
        <f t="shared" si="133"/>
        <v>1193</v>
      </c>
      <c r="N208" s="20">
        <f t="shared" si="133"/>
        <v>1185</v>
      </c>
      <c r="O208" s="20">
        <f t="shared" si="133"/>
        <v>1179</v>
      </c>
      <c r="P208" s="20">
        <f t="shared" si="133"/>
        <v>1167.5</v>
      </c>
      <c r="R208" s="67">
        <f t="shared" si="136"/>
        <v>1170.5</v>
      </c>
      <c r="S208" s="67">
        <f t="shared" ref="S208:U208" si="143">AVERAGE(R200:S200)</f>
        <v>1159</v>
      </c>
      <c r="T208" s="67">
        <f t="shared" si="143"/>
        <v>1159</v>
      </c>
      <c r="U208" s="67">
        <f t="shared" si="143"/>
        <v>1159</v>
      </c>
      <c r="W208" s="67">
        <f t="shared" si="138"/>
        <v>1159</v>
      </c>
      <c r="X208" s="67">
        <f t="shared" si="139"/>
        <v>1159</v>
      </c>
      <c r="Y208" s="67">
        <f t="shared" ref="Y208:AA208" si="144">AVERAGE(X200:Y200)</f>
        <v>1159</v>
      </c>
      <c r="Z208" s="67">
        <f t="shared" si="144"/>
        <v>1159</v>
      </c>
      <c r="AA208" s="67">
        <f t="shared" si="144"/>
        <v>1159</v>
      </c>
    </row>
    <row r="209" spans="1:27" x14ac:dyDescent="0.25">
      <c r="A209" s="64" t="s">
        <v>133</v>
      </c>
      <c r="D209" s="22">
        <f>AVERAGE(D553,D563)</f>
        <v>2307</v>
      </c>
      <c r="E209" s="22">
        <f t="shared" si="132"/>
        <v>2257.5</v>
      </c>
      <c r="F209" s="22">
        <f t="shared" si="132"/>
        <v>2191.5</v>
      </c>
      <c r="G209" s="22">
        <f t="shared" si="132"/>
        <v>2147</v>
      </c>
      <c r="H209" s="22">
        <f t="shared" si="132"/>
        <v>2119.5</v>
      </c>
      <c r="I209" s="22">
        <f t="shared" si="132"/>
        <v>2081</v>
      </c>
      <c r="J209" s="22">
        <f t="shared" si="132"/>
        <v>2042.5</v>
      </c>
      <c r="K209" s="22">
        <f t="shared" si="133"/>
        <v>2009.5</v>
      </c>
      <c r="L209" s="22">
        <f t="shared" si="133"/>
        <v>1975.5</v>
      </c>
      <c r="M209" s="22">
        <f t="shared" si="133"/>
        <v>1945.5</v>
      </c>
      <c r="N209" s="22">
        <f t="shared" si="133"/>
        <v>1906</v>
      </c>
      <c r="O209" s="22">
        <f t="shared" si="133"/>
        <v>1864</v>
      </c>
      <c r="P209" s="22">
        <f t="shared" si="133"/>
        <v>1824.5</v>
      </c>
      <c r="R209" s="68">
        <f t="shared" si="136"/>
        <v>1842.5</v>
      </c>
      <c r="S209" s="68">
        <f t="shared" ref="S209:U209" si="145">AVERAGE(R201:S201)</f>
        <v>1803</v>
      </c>
      <c r="T209" s="68">
        <f t="shared" si="145"/>
        <v>1803</v>
      </c>
      <c r="U209" s="68">
        <f t="shared" si="145"/>
        <v>1803</v>
      </c>
      <c r="W209" s="68">
        <f t="shared" si="138"/>
        <v>1803</v>
      </c>
      <c r="X209" s="68">
        <f t="shared" si="139"/>
        <v>1803</v>
      </c>
      <c r="Y209" s="68">
        <f t="shared" ref="Y209:AA209" si="146">AVERAGE(X201:Y201)</f>
        <v>1803</v>
      </c>
      <c r="Z209" s="68">
        <f t="shared" si="146"/>
        <v>1803</v>
      </c>
      <c r="AA209" s="68">
        <f t="shared" si="146"/>
        <v>1803</v>
      </c>
    </row>
    <row r="210" spans="1:27" x14ac:dyDescent="0.25">
      <c r="A210" s="10" t="s">
        <v>213</v>
      </c>
      <c r="D210" s="19">
        <f t="shared" ref="D210:J210" si="147">SUM(D205:D209)</f>
        <v>7485</v>
      </c>
      <c r="E210" s="19">
        <f t="shared" si="147"/>
        <v>7466.5</v>
      </c>
      <c r="F210" s="19">
        <f t="shared" si="147"/>
        <v>7405.5</v>
      </c>
      <c r="G210" s="19">
        <f t="shared" si="147"/>
        <v>7344.5</v>
      </c>
      <c r="H210" s="19">
        <f t="shared" si="147"/>
        <v>7306</v>
      </c>
      <c r="I210" s="19">
        <f t="shared" si="147"/>
        <v>7254</v>
      </c>
      <c r="J210" s="23">
        <f t="shared" si="147"/>
        <v>7191</v>
      </c>
      <c r="K210" s="19">
        <f t="shared" ref="K210:P210" si="148">SUM(K205:K209)</f>
        <v>7123</v>
      </c>
      <c r="L210" s="19">
        <f t="shared" si="148"/>
        <v>7067.5</v>
      </c>
      <c r="M210" s="19">
        <f t="shared" si="148"/>
        <v>7037</v>
      </c>
      <c r="N210" s="19">
        <f t="shared" si="148"/>
        <v>6991</v>
      </c>
      <c r="O210" s="19">
        <f t="shared" si="148"/>
        <v>6938</v>
      </c>
      <c r="P210" s="19">
        <f t="shared" si="148"/>
        <v>6886.5</v>
      </c>
      <c r="R210" s="19">
        <f>SUM(R205:R209)</f>
        <v>6907.5</v>
      </c>
      <c r="S210" s="19">
        <f t="shared" ref="S210:U210" si="149">SUM(S205:S209)</f>
        <v>6856</v>
      </c>
      <c r="T210" s="19">
        <f t="shared" si="149"/>
        <v>6856</v>
      </c>
      <c r="U210" s="19">
        <f t="shared" si="149"/>
        <v>6856</v>
      </c>
      <c r="W210" s="19">
        <f t="shared" ref="W210:X210" si="150">SUM(W205:W209)</f>
        <v>6856</v>
      </c>
      <c r="X210" s="19">
        <f t="shared" si="150"/>
        <v>6856</v>
      </c>
      <c r="Y210" s="19">
        <f t="shared" ref="Y210" si="151">SUM(Y205:Y209)</f>
        <v>6856</v>
      </c>
      <c r="Z210" s="19">
        <f t="shared" ref="Z210" si="152">SUM(Z205:Z209)</f>
        <v>6856</v>
      </c>
      <c r="AA210" s="19">
        <f t="shared" ref="AA210" si="153">SUM(AA205:AA209)</f>
        <v>6856</v>
      </c>
    </row>
    <row r="211" spans="1:27" x14ac:dyDescent="0.25">
      <c r="A211" s="10"/>
      <c r="D211" s="19"/>
      <c r="E211" s="19"/>
      <c r="F211" s="19"/>
      <c r="G211" s="19"/>
      <c r="H211" s="19"/>
      <c r="I211" s="19"/>
      <c r="J211" s="23"/>
      <c r="K211" s="19"/>
      <c r="L211" s="19"/>
      <c r="M211" s="19"/>
      <c r="N211" s="19"/>
      <c r="O211" s="19"/>
      <c r="P211" s="19"/>
    </row>
    <row r="212" spans="1:27" x14ac:dyDescent="0.25">
      <c r="A212" s="28" t="s">
        <v>233</v>
      </c>
      <c r="D212" s="21">
        <f t="shared" ref="D212:N212" si="154">D589</f>
        <v>397</v>
      </c>
      <c r="E212" s="21">
        <f t="shared" si="154"/>
        <v>405</v>
      </c>
      <c r="F212" s="21">
        <f t="shared" si="154"/>
        <v>402</v>
      </c>
      <c r="G212" s="21">
        <f t="shared" si="154"/>
        <v>398</v>
      </c>
      <c r="H212" s="21">
        <f t="shared" si="154"/>
        <v>392</v>
      </c>
      <c r="I212" s="21">
        <f t="shared" si="154"/>
        <v>381</v>
      </c>
      <c r="J212" s="21">
        <f t="shared" si="154"/>
        <v>371</v>
      </c>
      <c r="K212" s="21">
        <f t="shared" si="154"/>
        <v>351</v>
      </c>
      <c r="L212" s="21">
        <f t="shared" si="154"/>
        <v>352</v>
      </c>
      <c r="M212" s="21">
        <f t="shared" si="154"/>
        <v>365</v>
      </c>
      <c r="N212" s="21">
        <f t="shared" si="154"/>
        <v>358</v>
      </c>
      <c r="O212" s="21">
        <f t="shared" ref="O212:P212" si="155">O589</f>
        <v>360</v>
      </c>
      <c r="P212" s="21">
        <f t="shared" si="155"/>
        <v>362</v>
      </c>
      <c r="R212" s="21">
        <f>R589</f>
        <v>362</v>
      </c>
      <c r="S212" s="21">
        <f>S589</f>
        <v>362</v>
      </c>
      <c r="T212" s="21">
        <f>T589</f>
        <v>362</v>
      </c>
      <c r="U212" s="21">
        <f>U589</f>
        <v>362</v>
      </c>
      <c r="W212" s="21">
        <f>W589</f>
        <v>362</v>
      </c>
      <c r="X212" s="21">
        <f>X589</f>
        <v>362</v>
      </c>
      <c r="Y212" s="21">
        <f>Y589</f>
        <v>362</v>
      </c>
      <c r="Z212" s="21">
        <f>Z589</f>
        <v>362</v>
      </c>
      <c r="AA212" s="21">
        <f>AA589</f>
        <v>362</v>
      </c>
    </row>
    <row r="213" spans="1:27" s="33" customFormat="1" x14ac:dyDescent="0.25">
      <c r="A213" s="10" t="s">
        <v>234</v>
      </c>
      <c r="D213" s="69">
        <f>AVERAGE(D579,D589)</f>
        <v>398.5</v>
      </c>
      <c r="E213" s="69">
        <f t="shared" ref="E213:P213" si="156">AVERAGE(D212:E212)</f>
        <v>401</v>
      </c>
      <c r="F213" s="69">
        <f t="shared" si="156"/>
        <v>403.5</v>
      </c>
      <c r="G213" s="69">
        <f t="shared" si="156"/>
        <v>400</v>
      </c>
      <c r="H213" s="69">
        <f t="shared" si="156"/>
        <v>395</v>
      </c>
      <c r="I213" s="69">
        <f t="shared" si="156"/>
        <v>386.5</v>
      </c>
      <c r="J213" s="142">
        <f t="shared" si="156"/>
        <v>376</v>
      </c>
      <c r="K213" s="69">
        <f t="shared" si="156"/>
        <v>361</v>
      </c>
      <c r="L213" s="69">
        <f t="shared" si="156"/>
        <v>351.5</v>
      </c>
      <c r="M213" s="69">
        <f t="shared" si="156"/>
        <v>358.5</v>
      </c>
      <c r="N213" s="69">
        <f t="shared" si="156"/>
        <v>361.5</v>
      </c>
      <c r="O213" s="69">
        <f t="shared" si="156"/>
        <v>359</v>
      </c>
      <c r="P213" s="69">
        <f t="shared" si="156"/>
        <v>361</v>
      </c>
      <c r="R213" s="69">
        <f>AVERAGE(R212,N212)</f>
        <v>360</v>
      </c>
      <c r="S213" s="69">
        <f>AVERAGE(R212:S212)</f>
        <v>362</v>
      </c>
      <c r="T213" s="69">
        <f t="shared" ref="T213:U213" si="157">AVERAGE(S212:T212)</f>
        <v>362</v>
      </c>
      <c r="U213" s="69">
        <f t="shared" si="157"/>
        <v>362</v>
      </c>
      <c r="W213" s="69">
        <f>AVERAGE(W212,P212)</f>
        <v>362</v>
      </c>
      <c r="X213" s="69">
        <f>AVERAGE(X212,W212)</f>
        <v>362</v>
      </c>
      <c r="Y213" s="69">
        <f>AVERAGE(X212:Y212)</f>
        <v>362</v>
      </c>
      <c r="Z213" s="69">
        <f t="shared" ref="Z213" si="158">AVERAGE(Y212:Z212)</f>
        <v>362</v>
      </c>
      <c r="AA213" s="69">
        <f t="shared" ref="AA213" si="159">AVERAGE(Z212:AA212)</f>
        <v>362</v>
      </c>
    </row>
    <row r="215" spans="1:27" x14ac:dyDescent="0.25">
      <c r="A215" s="33" t="s">
        <v>287</v>
      </c>
    </row>
    <row r="216" spans="1:27" x14ac:dyDescent="0.25">
      <c r="A216" s="70" t="s">
        <v>194</v>
      </c>
      <c r="E216" s="55">
        <f t="shared" ref="E216:N216" si="160">E231/E$234*E$74</f>
        <v>0.56340150375939846</v>
      </c>
      <c r="F216" s="55">
        <f t="shared" si="160"/>
        <v>0.59301342615614128</v>
      </c>
      <c r="G216" s="55">
        <f t="shared" si="160"/>
        <v>0.58981294964028774</v>
      </c>
      <c r="H216" s="55">
        <f t="shared" si="160"/>
        <v>0.58357019064124782</v>
      </c>
      <c r="I216" s="55">
        <f t="shared" si="160"/>
        <v>0.57924470704086661</v>
      </c>
      <c r="J216" s="140">
        <f t="shared" si="160"/>
        <v>0.57176628445962441</v>
      </c>
      <c r="K216" s="55">
        <f t="shared" si="160"/>
        <v>0.60858570738773532</v>
      </c>
      <c r="L216" s="55">
        <f t="shared" si="160"/>
        <v>0.59687240143369169</v>
      </c>
      <c r="M216" s="55">
        <f t="shared" si="160"/>
        <v>0.5679391859914813</v>
      </c>
      <c r="N216" s="55">
        <f t="shared" si="160"/>
        <v>0.58966760431317389</v>
      </c>
      <c r="O216" s="55">
        <f t="shared" ref="O216:P216" si="161">O231/O$234*O$74</f>
        <v>0.64755020823692733</v>
      </c>
      <c r="P216" s="55">
        <f t="shared" si="161"/>
        <v>0.63369997723651261</v>
      </c>
      <c r="R216" s="55">
        <f t="shared" ref="R216:U218" si="162">R$221/1000000*R231</f>
        <v>0.6234292612264607</v>
      </c>
      <c r="S216" s="55">
        <f t="shared" si="162"/>
        <v>0.60895483870967737</v>
      </c>
      <c r="T216" s="55">
        <f t="shared" si="162"/>
        <v>0.57478182678655942</v>
      </c>
      <c r="U216" s="55">
        <f t="shared" si="162"/>
        <v>0.59201687763713085</v>
      </c>
      <c r="W216" s="71">
        <f>SUM(R216:U216)</f>
        <v>2.3991828043598282</v>
      </c>
      <c r="X216" s="55">
        <f t="shared" ref="X216:AA218" si="163">X$221/1000000*X231</f>
        <v>2.3991828043598282</v>
      </c>
      <c r="Y216" s="55">
        <f t="shared" si="163"/>
        <v>2.3991828043598282</v>
      </c>
      <c r="Z216" s="55">
        <f t="shared" si="163"/>
        <v>2.3991828043598282</v>
      </c>
      <c r="AA216" s="55">
        <f t="shared" si="163"/>
        <v>2.3991828043598282</v>
      </c>
    </row>
    <row r="217" spans="1:27" x14ac:dyDescent="0.25">
      <c r="A217" s="70" t="s">
        <v>132</v>
      </c>
      <c r="E217" s="55">
        <f t="shared" ref="E217:N217" si="164">E232/E$234*E$74</f>
        <v>4.6826977443609019</v>
      </c>
      <c r="F217" s="55">
        <f t="shared" si="164"/>
        <v>4.9944368473396317</v>
      </c>
      <c r="G217" s="55">
        <f t="shared" si="164"/>
        <v>5.008575539568346</v>
      </c>
      <c r="H217" s="55">
        <f t="shared" si="164"/>
        <v>4.9986135181975744</v>
      </c>
      <c r="I217" s="55">
        <f t="shared" si="164"/>
        <v>5.0351558345642546</v>
      </c>
      <c r="J217" s="140">
        <f t="shared" si="164"/>
        <v>5.0385445230544033</v>
      </c>
      <c r="K217" s="55">
        <f t="shared" si="164"/>
        <v>5.4525321100917434</v>
      </c>
      <c r="L217" s="55">
        <f t="shared" si="164"/>
        <v>5.4250143369175632</v>
      </c>
      <c r="M217" s="55">
        <f t="shared" si="164"/>
        <v>5.1981261239943208</v>
      </c>
      <c r="N217" s="55">
        <f t="shared" si="164"/>
        <v>5.4479648382559773</v>
      </c>
      <c r="O217" s="55">
        <f t="shared" ref="O217:P217" si="165">O232/O$234*O$74</f>
        <v>6.1208912540490514</v>
      </c>
      <c r="P217" s="55">
        <f t="shared" si="165"/>
        <v>6.2012069201001596</v>
      </c>
      <c r="R217" s="55">
        <f t="shared" si="162"/>
        <v>6.1996576533075816</v>
      </c>
      <c r="S217" s="55">
        <f t="shared" si="162"/>
        <v>6.0557175627240136</v>
      </c>
      <c r="T217" s="55">
        <f t="shared" si="162"/>
        <v>5.7158859441552305</v>
      </c>
      <c r="U217" s="55">
        <f t="shared" si="162"/>
        <v>5.8872789498359124</v>
      </c>
      <c r="W217" s="71">
        <f t="shared" ref="W217:W218" si="166">SUM(R217:U217)</f>
        <v>23.858540110022741</v>
      </c>
      <c r="X217" s="55">
        <f t="shared" si="163"/>
        <v>23.858540110022737</v>
      </c>
      <c r="Y217" s="55">
        <f t="shared" si="163"/>
        <v>23.858540110022737</v>
      </c>
      <c r="Z217" s="55">
        <f t="shared" si="163"/>
        <v>23.858540110022737</v>
      </c>
      <c r="AA217" s="55">
        <f t="shared" si="163"/>
        <v>23.858540110022737</v>
      </c>
    </row>
    <row r="218" spans="1:27" x14ac:dyDescent="0.25">
      <c r="A218" s="70" t="s">
        <v>133</v>
      </c>
      <c r="D218" s="72"/>
      <c r="E218" s="62">
        <f t="shared" ref="E218:N218" si="167">E233/E$234*E$74</f>
        <v>3.9669007518796988</v>
      </c>
      <c r="F218" s="62">
        <f t="shared" si="167"/>
        <v>4.1875497265042272</v>
      </c>
      <c r="G218" s="62">
        <f t="shared" si="167"/>
        <v>4.1456115107913671</v>
      </c>
      <c r="H218" s="62">
        <f t="shared" si="167"/>
        <v>4.0778162911611791</v>
      </c>
      <c r="I218" s="62">
        <f t="shared" si="167"/>
        <v>4.0285994583948792</v>
      </c>
      <c r="J218" s="143">
        <f t="shared" si="167"/>
        <v>3.9556891924859725</v>
      </c>
      <c r="K218" s="62">
        <f t="shared" si="167"/>
        <v>4.1858821825205208</v>
      </c>
      <c r="L218" s="62">
        <f t="shared" si="167"/>
        <v>4.0911132616487453</v>
      </c>
      <c r="M218" s="62">
        <f t="shared" si="167"/>
        <v>3.8729346900141972</v>
      </c>
      <c r="N218" s="62">
        <f t="shared" si="167"/>
        <v>3.9843675574308488</v>
      </c>
      <c r="O218" s="62">
        <f t="shared" ref="O218:P218" si="168">O233/O$234*O$74</f>
        <v>4.3375585377140213</v>
      </c>
      <c r="P218" s="62">
        <f t="shared" si="168"/>
        <v>4.2120931026633279</v>
      </c>
      <c r="R218" s="62">
        <f t="shared" si="162"/>
        <v>4.1314558184451959</v>
      </c>
      <c r="S218" s="62">
        <f t="shared" si="162"/>
        <v>4.0355340501792112</v>
      </c>
      <c r="T218" s="62">
        <f t="shared" si="162"/>
        <v>3.8090700425934694</v>
      </c>
      <c r="U218" s="62">
        <f t="shared" si="162"/>
        <v>3.9232864510079706</v>
      </c>
      <c r="W218" s="62">
        <f t="shared" si="166"/>
        <v>15.899346362225849</v>
      </c>
      <c r="X218" s="62">
        <f t="shared" si="163"/>
        <v>15.899346362225847</v>
      </c>
      <c r="Y218" s="62">
        <f t="shared" si="163"/>
        <v>15.899346362225847</v>
      </c>
      <c r="Z218" s="62">
        <f t="shared" si="163"/>
        <v>15.899346362225847</v>
      </c>
      <c r="AA218" s="62">
        <f t="shared" si="163"/>
        <v>15.899346362225847</v>
      </c>
    </row>
    <row r="219" spans="1:27" s="33" customFormat="1" x14ac:dyDescent="0.25">
      <c r="A219" s="33" t="s">
        <v>241</v>
      </c>
      <c r="E219" s="63">
        <f t="shared" ref="E219:K219" si="169">SUM(E216:E218)</f>
        <v>9.2129999999999992</v>
      </c>
      <c r="F219" s="63">
        <f t="shared" si="169"/>
        <v>9.7750000000000004</v>
      </c>
      <c r="G219" s="63">
        <f t="shared" si="169"/>
        <v>9.7439999999999998</v>
      </c>
      <c r="H219" s="63">
        <f t="shared" si="169"/>
        <v>9.66</v>
      </c>
      <c r="I219" s="63">
        <f t="shared" si="169"/>
        <v>9.6430000000000007</v>
      </c>
      <c r="J219" s="141">
        <f t="shared" si="169"/>
        <v>9.5659999999999989</v>
      </c>
      <c r="K219" s="63">
        <f t="shared" si="169"/>
        <v>10.247</v>
      </c>
      <c r="L219" s="63">
        <f>SUM(L216:L218)</f>
        <v>10.113</v>
      </c>
      <c r="M219" s="63">
        <f>SUM(M216:M218)</f>
        <v>9.6389999999999993</v>
      </c>
      <c r="N219" s="63">
        <f>SUM(N216:N218)</f>
        <v>10.022</v>
      </c>
      <c r="O219" s="63">
        <f>SUM(O216:O218)</f>
        <v>11.106</v>
      </c>
      <c r="P219" s="63">
        <f>SUM(P216:P218)</f>
        <v>11.047000000000001</v>
      </c>
      <c r="R219" s="63">
        <f>SUM(R216:R218)</f>
        <v>10.954542732979238</v>
      </c>
      <c r="S219" s="63">
        <f t="shared" ref="S219:W219" si="170">SUM(S216:S218)</f>
        <v>10.700206451612903</v>
      </c>
      <c r="T219" s="63">
        <f t="shared" si="170"/>
        <v>10.09973781353526</v>
      </c>
      <c r="U219" s="63">
        <f t="shared" si="170"/>
        <v>10.402582278481013</v>
      </c>
      <c r="W219" s="63">
        <f t="shared" si="170"/>
        <v>42.157069276608418</v>
      </c>
      <c r="X219" s="63">
        <f t="shared" ref="X219" si="171">SUM(X216:X218)</f>
        <v>42.157069276608411</v>
      </c>
      <c r="Y219" s="63">
        <f t="shared" ref="Y219" si="172">SUM(Y216:Y218)</f>
        <v>42.157069276608411</v>
      </c>
      <c r="Z219" s="63">
        <f t="shared" ref="Z219" si="173">SUM(Z216:Z218)</f>
        <v>42.157069276608411</v>
      </c>
      <c r="AA219" s="63">
        <f t="shared" ref="AA219" si="174">SUM(AA216:AA218)</f>
        <v>42.157069276608411</v>
      </c>
    </row>
    <row r="220" spans="1:27" x14ac:dyDescent="0.25">
      <c r="E220" s="55"/>
      <c r="F220" s="55"/>
      <c r="G220" s="55"/>
      <c r="H220" s="55"/>
      <c r="I220" s="55"/>
      <c r="J220" s="140"/>
      <c r="K220" s="55"/>
      <c r="L220" s="55"/>
      <c r="M220" s="55"/>
      <c r="N220" s="55"/>
      <c r="O220" s="55"/>
      <c r="P220" s="55"/>
    </row>
    <row r="221" spans="1:27" x14ac:dyDescent="0.25">
      <c r="A221" s="31" t="s">
        <v>242</v>
      </c>
      <c r="E221" s="73">
        <f t="shared" ref="E221:K221" si="175">E219*1000000/E234</f>
        <v>4618.0451127819551</v>
      </c>
      <c r="F221" s="73">
        <f t="shared" si="175"/>
        <v>4860.7657881650921</v>
      </c>
      <c r="G221" s="73">
        <f t="shared" si="175"/>
        <v>4834.5323741007196</v>
      </c>
      <c r="H221" s="73">
        <f t="shared" si="175"/>
        <v>4783.362218370884</v>
      </c>
      <c r="I221" s="73">
        <f t="shared" si="175"/>
        <v>4747.9074347612013</v>
      </c>
      <c r="J221" s="144">
        <f t="shared" si="175"/>
        <v>4667.4798731397896</v>
      </c>
      <c r="K221" s="73">
        <f t="shared" si="175"/>
        <v>4947.8512795750848</v>
      </c>
      <c r="L221" s="73">
        <f>L219*1000000/L234</f>
        <v>4832.974910394265</v>
      </c>
      <c r="M221" s="73">
        <f>M219*1000000/M234</f>
        <v>4561.760530052059</v>
      </c>
      <c r="N221" s="73">
        <f>N219*1000000/N234</f>
        <v>4698.5466479137367</v>
      </c>
      <c r="O221" s="73">
        <f>O219*1000000/O234</f>
        <v>5139.2873669597411</v>
      </c>
      <c r="P221" s="73">
        <f>P219*1000000/P234</f>
        <v>5029.3648987024808</v>
      </c>
      <c r="R221" s="73">
        <f>K221*(1+R222)</f>
        <v>4947.8512795750848</v>
      </c>
      <c r="S221" s="73">
        <f>L221*(1+S222)</f>
        <v>4832.974910394265</v>
      </c>
      <c r="T221" s="73">
        <f>M221*(1+T222)</f>
        <v>4561.760530052059</v>
      </c>
      <c r="U221" s="73">
        <f>N221*(1+U222)</f>
        <v>4698.5466479137367</v>
      </c>
      <c r="W221" s="74">
        <f>SUM(R221:U221)</f>
        <v>19041.133367935145</v>
      </c>
      <c r="X221" s="75">
        <f>W221*(1+X222)</f>
        <v>19041.133367935145</v>
      </c>
      <c r="Y221" s="75">
        <f t="shared" ref="Y221:AA221" si="176">X221*(1+Y222)</f>
        <v>19041.133367935145</v>
      </c>
      <c r="Z221" s="75">
        <f t="shared" si="176"/>
        <v>19041.133367935145</v>
      </c>
      <c r="AA221" s="75">
        <f t="shared" si="176"/>
        <v>19041.133367935145</v>
      </c>
    </row>
    <row r="222" spans="1:27" x14ac:dyDescent="0.25">
      <c r="A222" s="76" t="s">
        <v>219</v>
      </c>
      <c r="E222" s="29"/>
      <c r="F222" s="29"/>
      <c r="G222" s="29"/>
      <c r="H222" s="29"/>
      <c r="I222" s="29">
        <f t="shared" ref="I222:K222" si="177">I221/E221-1</f>
        <v>2.8120626543861604E-2</v>
      </c>
      <c r="J222" s="145">
        <f t="shared" si="177"/>
        <v>-3.9764498733082743E-2</v>
      </c>
      <c r="K222" s="29">
        <f t="shared" si="177"/>
        <v>2.3439475983536795E-2</v>
      </c>
      <c r="L222" s="29">
        <f>L221/H221-1</f>
        <v>1.0371928730974922E-2</v>
      </c>
      <c r="M222" s="29">
        <f>M221/I221-1</f>
        <v>-3.9206093898607075E-2</v>
      </c>
      <c r="N222" s="29">
        <f>N221/J221-1</f>
        <v>6.6560061571403484E-3</v>
      </c>
      <c r="O222" s="29">
        <f>O221/K221-1</f>
        <v>3.8690752119998395E-2</v>
      </c>
      <c r="P222" s="29">
        <f>P221/L221-1</f>
        <v>4.0635424753776572E-2</v>
      </c>
      <c r="R222" s="77">
        <v>0</v>
      </c>
      <c r="S222" s="78">
        <v>0</v>
      </c>
      <c r="T222" s="78">
        <v>0</v>
      </c>
      <c r="U222" s="78">
        <v>0</v>
      </c>
      <c r="W222" s="270">
        <f>W221/SUM(K221:N221)-1</f>
        <v>0</v>
      </c>
      <c r="X222" s="78">
        <v>0</v>
      </c>
      <c r="Y222" s="78">
        <v>0</v>
      </c>
      <c r="Z222" s="78">
        <v>0</v>
      </c>
      <c r="AA222" s="78">
        <v>0</v>
      </c>
    </row>
    <row r="223" spans="1:27" x14ac:dyDescent="0.25">
      <c r="A223" s="33"/>
      <c r="E223" s="55"/>
      <c r="F223" s="55"/>
      <c r="G223" s="55"/>
      <c r="H223" s="55"/>
      <c r="I223" s="55"/>
      <c r="J223" s="140"/>
      <c r="K223" s="55"/>
      <c r="L223" s="55"/>
      <c r="M223" s="55"/>
      <c r="N223" s="55"/>
      <c r="O223" s="55"/>
      <c r="P223" s="55"/>
    </row>
    <row r="224" spans="1:27" s="33" customFormat="1" x14ac:dyDescent="0.25">
      <c r="A224" s="17" t="s">
        <v>214</v>
      </c>
      <c r="D224" s="23"/>
      <c r="E224" s="23"/>
      <c r="F224" s="23"/>
      <c r="G224" s="23"/>
      <c r="H224" s="23"/>
      <c r="I224" s="25"/>
      <c r="J224" s="25"/>
      <c r="K224" s="25"/>
      <c r="L224" s="25"/>
      <c r="M224" s="25"/>
      <c r="N224" s="25"/>
      <c r="O224" s="25"/>
      <c r="P224" s="25"/>
    </row>
    <row r="225" spans="1:27" x14ac:dyDescent="0.25">
      <c r="A225" s="70" t="s">
        <v>194</v>
      </c>
      <c r="D225" s="20">
        <f t="shared" ref="D225:N225" si="178">D619</f>
        <v>122</v>
      </c>
      <c r="E225" s="20">
        <f t="shared" si="178"/>
        <v>122</v>
      </c>
      <c r="F225" s="20">
        <f t="shared" si="178"/>
        <v>122</v>
      </c>
      <c r="G225" s="20">
        <f t="shared" si="178"/>
        <v>122</v>
      </c>
      <c r="H225" s="20">
        <f t="shared" si="178"/>
        <v>122</v>
      </c>
      <c r="I225" s="20">
        <f t="shared" si="178"/>
        <v>122</v>
      </c>
      <c r="J225" s="20">
        <f t="shared" si="178"/>
        <v>123</v>
      </c>
      <c r="K225" s="20">
        <f t="shared" si="178"/>
        <v>123</v>
      </c>
      <c r="L225" s="20">
        <f t="shared" si="178"/>
        <v>124</v>
      </c>
      <c r="M225" s="20">
        <f t="shared" si="178"/>
        <v>125</v>
      </c>
      <c r="N225" s="20">
        <f t="shared" si="178"/>
        <v>126</v>
      </c>
      <c r="O225" s="20">
        <f t="shared" ref="O225:P225" si="179">O619</f>
        <v>126</v>
      </c>
      <c r="P225" s="20">
        <f t="shared" si="179"/>
        <v>126</v>
      </c>
      <c r="R225" s="20">
        <f>R619</f>
        <v>126</v>
      </c>
      <c r="S225" s="20">
        <f>S619</f>
        <v>126</v>
      </c>
      <c r="T225" s="20">
        <f>T619</f>
        <v>126</v>
      </c>
      <c r="U225" s="20">
        <f>U619</f>
        <v>126</v>
      </c>
      <c r="W225" s="246">
        <f>U225</f>
        <v>126</v>
      </c>
      <c r="X225" s="20">
        <f>X619</f>
        <v>126</v>
      </c>
      <c r="Y225" s="20">
        <f>Y619</f>
        <v>126</v>
      </c>
      <c r="Z225" s="20">
        <f>Z619</f>
        <v>126</v>
      </c>
      <c r="AA225" s="20">
        <f>AA619</f>
        <v>126</v>
      </c>
    </row>
    <row r="226" spans="1:27" x14ac:dyDescent="0.25">
      <c r="A226" s="70" t="s">
        <v>132</v>
      </c>
      <c r="D226" s="20">
        <f t="shared" ref="D226:N226" si="180">D635</f>
        <v>1005</v>
      </c>
      <c r="E226" s="20">
        <f t="shared" si="180"/>
        <v>1023</v>
      </c>
      <c r="F226" s="20">
        <f t="shared" si="180"/>
        <v>1032</v>
      </c>
      <c r="G226" s="20">
        <f t="shared" si="180"/>
        <v>1040</v>
      </c>
      <c r="H226" s="20">
        <f t="shared" si="180"/>
        <v>1050</v>
      </c>
      <c r="I226" s="20">
        <f t="shared" si="180"/>
        <v>1071</v>
      </c>
      <c r="J226" s="20">
        <f t="shared" si="180"/>
        <v>1088</v>
      </c>
      <c r="K226" s="20">
        <f t="shared" si="180"/>
        <v>1116</v>
      </c>
      <c r="L226" s="20">
        <f t="shared" si="180"/>
        <v>1129</v>
      </c>
      <c r="M226" s="20">
        <f t="shared" si="180"/>
        <v>1150</v>
      </c>
      <c r="N226" s="20">
        <f t="shared" si="180"/>
        <v>1169</v>
      </c>
      <c r="O226" s="20">
        <f t="shared" ref="O226:P226" si="181">O635</f>
        <v>1213</v>
      </c>
      <c r="P226" s="20">
        <f t="shared" si="181"/>
        <v>1253</v>
      </c>
      <c r="R226" s="20">
        <f>R635</f>
        <v>1253</v>
      </c>
      <c r="S226" s="20">
        <f>S635</f>
        <v>1253</v>
      </c>
      <c r="T226" s="20">
        <f>T635</f>
        <v>1253</v>
      </c>
      <c r="U226" s="20">
        <f>U635</f>
        <v>1253</v>
      </c>
      <c r="W226" s="246">
        <f>U226</f>
        <v>1253</v>
      </c>
      <c r="X226" s="20">
        <f>X635</f>
        <v>1253</v>
      </c>
      <c r="Y226" s="20">
        <f>Y635</f>
        <v>1253</v>
      </c>
      <c r="Z226" s="20">
        <f>Z635</f>
        <v>1253</v>
      </c>
      <c r="AA226" s="20">
        <f>AA635</f>
        <v>1253</v>
      </c>
    </row>
    <row r="227" spans="1:27" x14ac:dyDescent="0.25">
      <c r="A227" s="70" t="s">
        <v>133</v>
      </c>
      <c r="D227" s="22">
        <f t="shared" ref="D227:N227" si="182">D651</f>
        <v>856</v>
      </c>
      <c r="E227" s="22">
        <f t="shared" si="182"/>
        <v>862</v>
      </c>
      <c r="F227" s="22">
        <f t="shared" si="182"/>
        <v>861</v>
      </c>
      <c r="G227" s="22">
        <f t="shared" si="182"/>
        <v>854</v>
      </c>
      <c r="H227" s="22">
        <f t="shared" si="182"/>
        <v>851</v>
      </c>
      <c r="I227" s="22">
        <f t="shared" si="182"/>
        <v>846</v>
      </c>
      <c r="J227" s="22">
        <f t="shared" si="182"/>
        <v>849</v>
      </c>
      <c r="K227" s="22">
        <f t="shared" si="182"/>
        <v>843</v>
      </c>
      <c r="L227" s="22">
        <f t="shared" si="182"/>
        <v>850</v>
      </c>
      <c r="M227" s="22">
        <f t="shared" si="182"/>
        <v>848</v>
      </c>
      <c r="N227" s="22">
        <f t="shared" si="182"/>
        <v>848</v>
      </c>
      <c r="O227" s="22">
        <f t="shared" ref="O227:P227" si="183">O651</f>
        <v>840</v>
      </c>
      <c r="P227" s="22">
        <f t="shared" si="183"/>
        <v>835</v>
      </c>
      <c r="R227" s="22">
        <f>R651</f>
        <v>835</v>
      </c>
      <c r="S227" s="22">
        <f>S651</f>
        <v>835</v>
      </c>
      <c r="T227" s="22">
        <f>T651</f>
        <v>835</v>
      </c>
      <c r="U227" s="22">
        <f>U651</f>
        <v>835</v>
      </c>
      <c r="W227" s="247">
        <f>U227</f>
        <v>835</v>
      </c>
      <c r="X227" s="22">
        <f>X651</f>
        <v>835</v>
      </c>
      <c r="Y227" s="22">
        <f>Y651</f>
        <v>835</v>
      </c>
      <c r="Z227" s="22">
        <f>Z651</f>
        <v>835</v>
      </c>
      <c r="AA227" s="22">
        <f>AA651</f>
        <v>835</v>
      </c>
    </row>
    <row r="228" spans="1:27" x14ac:dyDescent="0.25">
      <c r="A228" s="18" t="s">
        <v>215</v>
      </c>
      <c r="D228" s="19">
        <f t="shared" ref="D228:N228" si="184">SUM(D225:D227)</f>
        <v>1983</v>
      </c>
      <c r="E228" s="19">
        <f t="shared" si="184"/>
        <v>2007</v>
      </c>
      <c r="F228" s="19">
        <f t="shared" si="184"/>
        <v>2015</v>
      </c>
      <c r="G228" s="19">
        <f t="shared" si="184"/>
        <v>2016</v>
      </c>
      <c r="H228" s="19">
        <f t="shared" si="184"/>
        <v>2023</v>
      </c>
      <c r="I228" s="19">
        <f t="shared" si="184"/>
        <v>2039</v>
      </c>
      <c r="J228" s="23">
        <f t="shared" si="184"/>
        <v>2060</v>
      </c>
      <c r="K228" s="19">
        <f t="shared" si="184"/>
        <v>2082</v>
      </c>
      <c r="L228" s="19">
        <f t="shared" si="184"/>
        <v>2103</v>
      </c>
      <c r="M228" s="19">
        <f t="shared" si="184"/>
        <v>2123</v>
      </c>
      <c r="N228" s="19">
        <f t="shared" si="184"/>
        <v>2143</v>
      </c>
      <c r="O228" s="19">
        <f t="shared" ref="O228:P228" si="185">SUM(O225:O227)</f>
        <v>2179</v>
      </c>
      <c r="P228" s="19">
        <f t="shared" si="185"/>
        <v>2214</v>
      </c>
      <c r="R228" s="19">
        <f t="shared" ref="R228:U228" si="186">SUM(R225:R227)</f>
        <v>2214</v>
      </c>
      <c r="S228" s="19">
        <f t="shared" si="186"/>
        <v>2214</v>
      </c>
      <c r="T228" s="19">
        <f t="shared" si="186"/>
        <v>2214</v>
      </c>
      <c r="U228" s="19">
        <f t="shared" si="186"/>
        <v>2214</v>
      </c>
      <c r="W228" s="271">
        <f>SUM(W225:W227)</f>
        <v>2214</v>
      </c>
      <c r="X228" s="19">
        <f t="shared" ref="X228:AA228" si="187">SUM(X225:X227)</f>
        <v>2214</v>
      </c>
      <c r="Y228" s="19">
        <f t="shared" si="187"/>
        <v>2214</v>
      </c>
      <c r="Z228" s="19">
        <f t="shared" si="187"/>
        <v>2214</v>
      </c>
      <c r="AA228" s="19">
        <f t="shared" si="187"/>
        <v>2214</v>
      </c>
    </row>
    <row r="229" spans="1:27" x14ac:dyDescent="0.25">
      <c r="A229" s="70"/>
      <c r="D229" s="20"/>
      <c r="E229" s="20"/>
      <c r="F229" s="20"/>
      <c r="G229" s="20"/>
      <c r="H229" s="20"/>
      <c r="I229" s="21"/>
      <c r="J229" s="21"/>
      <c r="K229" s="21"/>
      <c r="L229" s="21"/>
      <c r="M229" s="21"/>
      <c r="N229" s="21"/>
      <c r="O229" s="21"/>
      <c r="P229" s="21"/>
    </row>
    <row r="230" spans="1:27" s="33" customFormat="1" x14ac:dyDescent="0.25">
      <c r="A230" s="79" t="s">
        <v>235</v>
      </c>
      <c r="D230" s="23"/>
      <c r="E230" s="23"/>
      <c r="F230" s="23"/>
      <c r="G230" s="23"/>
      <c r="H230" s="23"/>
      <c r="I230" s="25"/>
      <c r="J230" s="25"/>
      <c r="K230" s="25"/>
      <c r="L230" s="25"/>
      <c r="M230" s="25"/>
      <c r="N230" s="25"/>
      <c r="O230" s="25"/>
      <c r="P230" s="25"/>
    </row>
    <row r="231" spans="1:27" x14ac:dyDescent="0.25">
      <c r="A231" s="70" t="s">
        <v>194</v>
      </c>
      <c r="D231" s="20"/>
      <c r="E231" s="20">
        <f t="shared" ref="E231:P233" si="188">AVERAGE(E225,D225)</f>
        <v>122</v>
      </c>
      <c r="F231" s="20">
        <f t="shared" si="188"/>
        <v>122</v>
      </c>
      <c r="G231" s="20">
        <f t="shared" si="188"/>
        <v>122</v>
      </c>
      <c r="H231" s="20">
        <f t="shared" si="188"/>
        <v>122</v>
      </c>
      <c r="I231" s="20">
        <f t="shared" si="188"/>
        <v>122</v>
      </c>
      <c r="J231" s="20">
        <f t="shared" si="188"/>
        <v>122.5</v>
      </c>
      <c r="K231" s="20">
        <f t="shared" si="188"/>
        <v>123</v>
      </c>
      <c r="L231" s="20">
        <f t="shared" si="188"/>
        <v>123.5</v>
      </c>
      <c r="M231" s="20">
        <f t="shared" si="188"/>
        <v>124.5</v>
      </c>
      <c r="N231" s="20">
        <f t="shared" si="188"/>
        <v>125.5</v>
      </c>
      <c r="O231" s="20">
        <f t="shared" si="188"/>
        <v>126</v>
      </c>
      <c r="P231" s="20">
        <f t="shared" si="188"/>
        <v>126</v>
      </c>
      <c r="R231" s="67">
        <f>AVERAGE(R225,P225)</f>
        <v>126</v>
      </c>
      <c r="S231" s="67">
        <f>AVERAGE(S225,R225)</f>
        <v>126</v>
      </c>
      <c r="T231" s="67">
        <f t="shared" ref="T231:U231" si="189">AVERAGE(T225,S225)</f>
        <v>126</v>
      </c>
      <c r="U231" s="67">
        <f t="shared" si="189"/>
        <v>126</v>
      </c>
      <c r="W231" s="67">
        <f>AVERAGE(R225:U225)</f>
        <v>126</v>
      </c>
      <c r="X231" s="67">
        <f>AVERAGE(X225,W225)</f>
        <v>126</v>
      </c>
      <c r="Y231" s="67">
        <f t="shared" ref="Y231:AA231" si="190">AVERAGE(Y225,X225)</f>
        <v>126</v>
      </c>
      <c r="Z231" s="67">
        <f t="shared" si="190"/>
        <v>126</v>
      </c>
      <c r="AA231" s="67">
        <f t="shared" si="190"/>
        <v>126</v>
      </c>
    </row>
    <row r="232" spans="1:27" x14ac:dyDescent="0.25">
      <c r="A232" s="70" t="s">
        <v>132</v>
      </c>
      <c r="D232" s="20"/>
      <c r="E232" s="20">
        <f t="shared" si="188"/>
        <v>1014</v>
      </c>
      <c r="F232" s="20">
        <f t="shared" si="188"/>
        <v>1027.5</v>
      </c>
      <c r="G232" s="20">
        <f t="shared" si="188"/>
        <v>1036</v>
      </c>
      <c r="H232" s="20">
        <f t="shared" si="188"/>
        <v>1045</v>
      </c>
      <c r="I232" s="20">
        <f t="shared" si="188"/>
        <v>1060.5</v>
      </c>
      <c r="J232" s="20">
        <f t="shared" si="188"/>
        <v>1079.5</v>
      </c>
      <c r="K232" s="20">
        <f t="shared" si="188"/>
        <v>1102</v>
      </c>
      <c r="L232" s="20">
        <f t="shared" si="188"/>
        <v>1122.5</v>
      </c>
      <c r="M232" s="20">
        <f t="shared" si="188"/>
        <v>1139.5</v>
      </c>
      <c r="N232" s="20">
        <f t="shared" si="188"/>
        <v>1159.5</v>
      </c>
      <c r="O232" s="20">
        <f t="shared" si="188"/>
        <v>1191</v>
      </c>
      <c r="P232" s="20">
        <f t="shared" si="188"/>
        <v>1233</v>
      </c>
      <c r="R232" s="67">
        <f>AVERAGE(R226,P226)</f>
        <v>1253</v>
      </c>
      <c r="S232" s="67">
        <f t="shared" ref="S232:U233" si="191">AVERAGE(S226,R226)</f>
        <v>1253</v>
      </c>
      <c r="T232" s="67">
        <f t="shared" si="191"/>
        <v>1253</v>
      </c>
      <c r="U232" s="67">
        <f t="shared" si="191"/>
        <v>1253</v>
      </c>
      <c r="W232" s="67">
        <f t="shared" ref="W232:W233" si="192">AVERAGE(R226:U226)</f>
        <v>1253</v>
      </c>
      <c r="X232" s="67">
        <f>AVERAGE(X226,W226)</f>
        <v>1253</v>
      </c>
      <c r="Y232" s="67">
        <f t="shared" ref="Y232:AA232" si="193">AVERAGE(Y226,X226)</f>
        <v>1253</v>
      </c>
      <c r="Z232" s="67">
        <f t="shared" si="193"/>
        <v>1253</v>
      </c>
      <c r="AA232" s="67">
        <f t="shared" si="193"/>
        <v>1253</v>
      </c>
    </row>
    <row r="233" spans="1:27" x14ac:dyDescent="0.25">
      <c r="A233" s="70" t="s">
        <v>133</v>
      </c>
      <c r="D233" s="22"/>
      <c r="E233" s="22">
        <f t="shared" si="188"/>
        <v>859</v>
      </c>
      <c r="F233" s="22">
        <f t="shared" si="188"/>
        <v>861.5</v>
      </c>
      <c r="G233" s="22">
        <f t="shared" si="188"/>
        <v>857.5</v>
      </c>
      <c r="H233" s="22">
        <f t="shared" si="188"/>
        <v>852.5</v>
      </c>
      <c r="I233" s="22">
        <f t="shared" si="188"/>
        <v>848.5</v>
      </c>
      <c r="J233" s="22">
        <f t="shared" si="188"/>
        <v>847.5</v>
      </c>
      <c r="K233" s="22">
        <f t="shared" si="188"/>
        <v>846</v>
      </c>
      <c r="L233" s="22">
        <f t="shared" si="188"/>
        <v>846.5</v>
      </c>
      <c r="M233" s="22">
        <f t="shared" si="188"/>
        <v>849</v>
      </c>
      <c r="N233" s="22">
        <f t="shared" si="188"/>
        <v>848</v>
      </c>
      <c r="O233" s="22">
        <f t="shared" si="188"/>
        <v>844</v>
      </c>
      <c r="P233" s="22">
        <f t="shared" si="188"/>
        <v>837.5</v>
      </c>
      <c r="R233" s="68">
        <f>AVERAGE(R227,P227)</f>
        <v>835</v>
      </c>
      <c r="S233" s="68">
        <f t="shared" si="191"/>
        <v>835</v>
      </c>
      <c r="T233" s="68">
        <f t="shared" si="191"/>
        <v>835</v>
      </c>
      <c r="U233" s="68">
        <f t="shared" si="191"/>
        <v>835</v>
      </c>
      <c r="W233" s="68">
        <f t="shared" si="192"/>
        <v>835</v>
      </c>
      <c r="X233" s="68">
        <f>AVERAGE(X227,W227)</f>
        <v>835</v>
      </c>
      <c r="Y233" s="68">
        <f t="shared" ref="Y233:AA233" si="194">AVERAGE(Y227,X227)</f>
        <v>835</v>
      </c>
      <c r="Z233" s="68">
        <f t="shared" si="194"/>
        <v>835</v>
      </c>
      <c r="AA233" s="68">
        <f t="shared" si="194"/>
        <v>835</v>
      </c>
    </row>
    <row r="234" spans="1:27" x14ac:dyDescent="0.25">
      <c r="A234" s="18" t="s">
        <v>216</v>
      </c>
      <c r="D234" s="19"/>
      <c r="E234" s="19">
        <f t="shared" ref="E234:AA234" si="195">SUM(E231:E233)</f>
        <v>1995</v>
      </c>
      <c r="F234" s="19">
        <f t="shared" si="195"/>
        <v>2011</v>
      </c>
      <c r="G234" s="19">
        <f t="shared" si="195"/>
        <v>2015.5</v>
      </c>
      <c r="H234" s="19">
        <f t="shared" si="195"/>
        <v>2019.5</v>
      </c>
      <c r="I234" s="19">
        <f t="shared" si="195"/>
        <v>2031</v>
      </c>
      <c r="J234" s="23">
        <f t="shared" si="195"/>
        <v>2049.5</v>
      </c>
      <c r="K234" s="19">
        <f t="shared" si="195"/>
        <v>2071</v>
      </c>
      <c r="L234" s="19">
        <f t="shared" si="195"/>
        <v>2092.5</v>
      </c>
      <c r="M234" s="19">
        <f t="shared" si="195"/>
        <v>2113</v>
      </c>
      <c r="N234" s="19">
        <f t="shared" si="195"/>
        <v>2133</v>
      </c>
      <c r="O234" s="19">
        <f t="shared" ref="O234:P234" si="196">SUM(O231:O233)</f>
        <v>2161</v>
      </c>
      <c r="P234" s="19">
        <f t="shared" si="196"/>
        <v>2196.5</v>
      </c>
      <c r="Q234" s="19"/>
      <c r="R234" s="19">
        <f t="shared" si="195"/>
        <v>2214</v>
      </c>
      <c r="S234" s="19">
        <f t="shared" si="195"/>
        <v>2214</v>
      </c>
      <c r="T234" s="19">
        <f t="shared" si="195"/>
        <v>2214</v>
      </c>
      <c r="U234" s="19">
        <f t="shared" si="195"/>
        <v>2214</v>
      </c>
      <c r="V234" s="19"/>
      <c r="W234" s="19">
        <f t="shared" si="195"/>
        <v>2214</v>
      </c>
      <c r="X234" s="19">
        <f t="shared" si="195"/>
        <v>2214</v>
      </c>
      <c r="Y234" s="19">
        <f t="shared" si="195"/>
        <v>2214</v>
      </c>
      <c r="Z234" s="19">
        <f t="shared" si="195"/>
        <v>2214</v>
      </c>
      <c r="AA234" s="19">
        <f t="shared" si="195"/>
        <v>2214</v>
      </c>
    </row>
    <row r="236" spans="1:27" x14ac:dyDescent="0.25">
      <c r="A236" s="33" t="s">
        <v>240</v>
      </c>
    </row>
    <row r="237" spans="1:27" x14ac:dyDescent="0.25">
      <c r="A237" s="15" t="s">
        <v>129</v>
      </c>
      <c r="D237" s="80"/>
      <c r="E237" s="80">
        <f t="shared" ref="E237:K237" si="197">E189*1000000/E205</f>
        <v>103695.73835480674</v>
      </c>
      <c r="F237" s="80">
        <f t="shared" si="197"/>
        <v>106572.72727272728</v>
      </c>
      <c r="G237" s="80">
        <f t="shared" si="197"/>
        <v>103314.34489901605</v>
      </c>
      <c r="H237" s="80">
        <f t="shared" si="197"/>
        <v>102504.76190476191</v>
      </c>
      <c r="I237" s="80">
        <f t="shared" si="197"/>
        <v>102231.47647376961</v>
      </c>
      <c r="J237" s="146">
        <f t="shared" si="197"/>
        <v>104898.55072463768</v>
      </c>
      <c r="K237" s="80">
        <f t="shared" si="197"/>
        <v>104635.32110091738</v>
      </c>
      <c r="L237" s="80">
        <f t="shared" ref="L237:M241" si="198">L189*1000000/L205</f>
        <v>99024.447031431904</v>
      </c>
      <c r="M237" s="80">
        <f t="shared" si="198"/>
        <v>99465.102639296194</v>
      </c>
      <c r="N237" s="80">
        <f t="shared" ref="N237:O237" si="199">N189*1000000/N205</f>
        <v>98899.761336515512</v>
      </c>
      <c r="O237" s="80">
        <f t="shared" si="199"/>
        <v>98751.065124771791</v>
      </c>
      <c r="P237" s="80">
        <f t="shared" ref="P237" si="200">P189*1000000/P205</f>
        <v>97333.743842364536</v>
      </c>
      <c r="R237" s="80">
        <f>M237*(1+R245)</f>
        <v>102449.05571847508</v>
      </c>
      <c r="S237" s="80">
        <f>N237*(1+S245)</f>
        <v>101866.75417661098</v>
      </c>
      <c r="T237" s="80">
        <f>O237*(1+T245)</f>
        <v>101713.59707851494</v>
      </c>
      <c r="U237" s="80">
        <f>P237*(1+U245)</f>
        <v>100253.75615763548</v>
      </c>
      <c r="W237" s="80">
        <f>SUM(R237:U237)</f>
        <v>406283.16313123645</v>
      </c>
      <c r="X237" s="80">
        <f>W237*(1+X245)</f>
        <v>418471.65802517353</v>
      </c>
      <c r="Y237" s="80">
        <f t="shared" ref="Y237:AA237" si="201">X237*(1+Y245)</f>
        <v>431025.80776592874</v>
      </c>
      <c r="Z237" s="80">
        <f t="shared" si="201"/>
        <v>443956.58199890662</v>
      </c>
      <c r="AA237" s="80">
        <f t="shared" si="201"/>
        <v>457275.27945887385</v>
      </c>
    </row>
    <row r="238" spans="1:27" x14ac:dyDescent="0.25">
      <c r="A238" s="15" t="s">
        <v>130</v>
      </c>
      <c r="D238" s="80"/>
      <c r="E238" s="80">
        <f t="shared" ref="E238:K238" si="202">E190*1000000/E206</f>
        <v>68467.289719626162</v>
      </c>
      <c r="F238" s="80">
        <f t="shared" si="202"/>
        <v>69612.017167381971</v>
      </c>
      <c r="G238" s="80">
        <f t="shared" si="202"/>
        <v>66828.247602441144</v>
      </c>
      <c r="H238" s="80">
        <f t="shared" si="202"/>
        <v>66838.766519823796</v>
      </c>
      <c r="I238" s="80">
        <f t="shared" si="202"/>
        <v>67030.303030303025</v>
      </c>
      <c r="J238" s="146">
        <f t="shared" si="202"/>
        <v>66539.65360072926</v>
      </c>
      <c r="K238" s="80">
        <f t="shared" si="202"/>
        <v>64257.222739981371</v>
      </c>
      <c r="L238" s="80">
        <f t="shared" si="198"/>
        <v>60273.327049952873</v>
      </c>
      <c r="M238" s="80">
        <f t="shared" si="198"/>
        <v>61760.456273764248</v>
      </c>
      <c r="N238" s="80">
        <f t="shared" ref="N238:O238" si="203">N190*1000000/N206</f>
        <v>62568.115942028977</v>
      </c>
      <c r="O238" s="80">
        <f t="shared" si="203"/>
        <v>60802.359882005883</v>
      </c>
      <c r="P238" s="80">
        <f t="shared" ref="P238" si="204">P190*1000000/P206</f>
        <v>60043.956043956045</v>
      </c>
      <c r="R238" s="80">
        <f t="shared" ref="R238:R242" si="205">M238*(1+R246)</f>
        <v>63613.269961977174</v>
      </c>
      <c r="S238" s="80">
        <f t="shared" ref="S238:S242" si="206">N238*(1+S246)</f>
        <v>64445.159420289849</v>
      </c>
      <c r="T238" s="80">
        <f t="shared" ref="T238:T242" si="207">O238*(1+T246)</f>
        <v>62626.430678466058</v>
      </c>
      <c r="U238" s="80">
        <f t="shared" ref="U238:U242" si="208">P238*(1+U246)</f>
        <v>61845.274725274729</v>
      </c>
      <c r="W238" s="80">
        <f t="shared" ref="W238:W242" si="209">SUM(R238:U238)</f>
        <v>252530.13478600784</v>
      </c>
      <c r="X238" s="80">
        <f t="shared" ref="X238:AA238" si="210">W238*(1+X246)</f>
        <v>260106.03882958807</v>
      </c>
      <c r="Y238" s="80">
        <f t="shared" si="210"/>
        <v>267909.21999447572</v>
      </c>
      <c r="Z238" s="80">
        <f t="shared" si="210"/>
        <v>275946.49659430998</v>
      </c>
      <c r="AA238" s="80">
        <f t="shared" si="210"/>
        <v>284224.89149213932</v>
      </c>
    </row>
    <row r="239" spans="1:27" x14ac:dyDescent="0.25">
      <c r="A239" s="15" t="s">
        <v>131</v>
      </c>
      <c r="D239" s="80"/>
      <c r="E239" s="80">
        <f t="shared" ref="E239:K239" si="211">E191*1000000/E207</f>
        <v>51932.338921838767</v>
      </c>
      <c r="F239" s="80">
        <f t="shared" si="211"/>
        <v>54839.129381604056</v>
      </c>
      <c r="G239" s="80">
        <f t="shared" si="211"/>
        <v>51418.504843160146</v>
      </c>
      <c r="H239" s="80">
        <f t="shared" si="211"/>
        <v>50026.330122337044</v>
      </c>
      <c r="I239" s="80">
        <f t="shared" si="211"/>
        <v>51509.142918122743</v>
      </c>
      <c r="J239" s="146">
        <f t="shared" si="211"/>
        <v>53285.923986895599</v>
      </c>
      <c r="K239" s="80">
        <f t="shared" si="211"/>
        <v>50663.616522964316</v>
      </c>
      <c r="L239" s="80">
        <f t="shared" si="198"/>
        <v>46779.718870748969</v>
      </c>
      <c r="M239" s="80">
        <f t="shared" si="198"/>
        <v>46910.738418257351</v>
      </c>
      <c r="N239" s="80">
        <f t="shared" ref="N239:O239" si="212">N191*1000000/N207</f>
        <v>49525.381173388414</v>
      </c>
      <c r="O239" s="80">
        <f t="shared" si="212"/>
        <v>48424.346897373514</v>
      </c>
      <c r="P239" s="80">
        <f t="shared" ref="P239" si="213">P191*1000000/P207</f>
        <v>47574.86445498198</v>
      </c>
      <c r="R239" s="80">
        <f t="shared" si="205"/>
        <v>48318.060570805072</v>
      </c>
      <c r="S239" s="80">
        <f t="shared" si="206"/>
        <v>51011.142608590068</v>
      </c>
      <c r="T239" s="80">
        <f t="shared" si="207"/>
        <v>49877.077304294718</v>
      </c>
      <c r="U239" s="80">
        <f t="shared" si="208"/>
        <v>49002.110388631438</v>
      </c>
      <c r="W239" s="80">
        <f t="shared" si="209"/>
        <v>198208.3908723213</v>
      </c>
      <c r="X239" s="80">
        <f t="shared" ref="X239:AA239" si="214">W239*(1+X247)</f>
        <v>204154.64259849093</v>
      </c>
      <c r="Y239" s="80">
        <f t="shared" si="214"/>
        <v>210279.28187644566</v>
      </c>
      <c r="Z239" s="80">
        <f t="shared" si="214"/>
        <v>216587.66033273903</v>
      </c>
      <c r="AA239" s="80">
        <f t="shared" si="214"/>
        <v>223085.29014272121</v>
      </c>
    </row>
    <row r="240" spans="1:27" x14ac:dyDescent="0.25">
      <c r="A240" s="15" t="s">
        <v>132</v>
      </c>
      <c r="D240" s="80"/>
      <c r="E240" s="80">
        <f t="shared" ref="E240:K240" si="215">E192*1000000/E208</f>
        <v>67152.780823768568</v>
      </c>
      <c r="F240" s="80">
        <f t="shared" si="215"/>
        <v>67301.122860511008</v>
      </c>
      <c r="G240" s="80">
        <f t="shared" si="215"/>
        <v>68267.941456981731</v>
      </c>
      <c r="H240" s="80">
        <f t="shared" si="215"/>
        <v>66886.215551591216</v>
      </c>
      <c r="I240" s="80">
        <f t="shared" si="215"/>
        <v>65313.086594972061</v>
      </c>
      <c r="J240" s="146">
        <f t="shared" si="215"/>
        <v>65771.170862108978</v>
      </c>
      <c r="K240" s="80">
        <f t="shared" si="215"/>
        <v>65813.192027839294</v>
      </c>
      <c r="L240" s="80">
        <f t="shared" si="198"/>
        <v>66357.130949404032</v>
      </c>
      <c r="M240" s="80">
        <f t="shared" si="198"/>
        <v>66263.096291706359</v>
      </c>
      <c r="N240" s="80">
        <f t="shared" ref="N240:O240" si="216">N192*1000000/N208</f>
        <v>66802.561317927451</v>
      </c>
      <c r="O240" s="80">
        <f t="shared" si="216"/>
        <v>70460.652032189115</v>
      </c>
      <c r="P240" s="80">
        <f t="shared" ref="P240" si="217">P192*1000000/P208</f>
        <v>68966.846321113349</v>
      </c>
      <c r="R240" s="80">
        <f t="shared" si="205"/>
        <v>68250.989180457545</v>
      </c>
      <c r="S240" s="80">
        <f t="shared" si="206"/>
        <v>68806.638157465277</v>
      </c>
      <c r="T240" s="80">
        <f t="shared" si="207"/>
        <v>72574.471593154783</v>
      </c>
      <c r="U240" s="80">
        <f t="shared" si="208"/>
        <v>71035.851710746749</v>
      </c>
      <c r="W240" s="80">
        <f t="shared" si="209"/>
        <v>280667.95064182434</v>
      </c>
      <c r="X240" s="80">
        <f t="shared" ref="X240:AA240" si="218">W240*(1+X248)</f>
        <v>289087.98916107905</v>
      </c>
      <c r="Y240" s="80">
        <f t="shared" si="218"/>
        <v>297760.62883591146</v>
      </c>
      <c r="Z240" s="80">
        <f t="shared" si="218"/>
        <v>306693.44770098879</v>
      </c>
      <c r="AA240" s="80">
        <f t="shared" si="218"/>
        <v>315894.25113201846</v>
      </c>
    </row>
    <row r="241" spans="1:27" x14ac:dyDescent="0.25">
      <c r="A241" s="15" t="s">
        <v>133</v>
      </c>
      <c r="E241" s="80">
        <f t="shared" ref="E241:K241" si="219">E193*1000000/E209</f>
        <v>58546.666333608104</v>
      </c>
      <c r="F241" s="80">
        <f t="shared" si="219"/>
        <v>60531.804824775623</v>
      </c>
      <c r="G241" s="80">
        <f t="shared" si="219"/>
        <v>61174.843264652394</v>
      </c>
      <c r="H241" s="80">
        <f t="shared" si="219"/>
        <v>58947.951738069743</v>
      </c>
      <c r="I241" s="80">
        <f t="shared" si="219"/>
        <v>59960.788342914522</v>
      </c>
      <c r="J241" s="146">
        <f t="shared" si="219"/>
        <v>60234.668694009313</v>
      </c>
      <c r="K241" s="80">
        <f t="shared" si="219"/>
        <v>61797.520685483694</v>
      </c>
      <c r="L241" s="80">
        <f t="shared" si="198"/>
        <v>58520.823456517974</v>
      </c>
      <c r="M241" s="80">
        <f t="shared" si="198"/>
        <v>57874.615939339921</v>
      </c>
      <c r="N241" s="80">
        <f t="shared" ref="N241:O241" si="220">N193*1000000/N209</f>
        <v>58346.606737969123</v>
      </c>
      <c r="O241" s="80">
        <f t="shared" si="220"/>
        <v>61981.460011955991</v>
      </c>
      <c r="P241" s="80">
        <f t="shared" ref="P241" si="221">P193*1000000/P209</f>
        <v>60246.591886728791</v>
      </c>
      <c r="R241" s="80">
        <f t="shared" si="205"/>
        <v>59610.854417520117</v>
      </c>
      <c r="S241" s="80">
        <f t="shared" si="206"/>
        <v>60097.0049401082</v>
      </c>
      <c r="T241" s="80">
        <f t="shared" si="207"/>
        <v>63840.903812314675</v>
      </c>
      <c r="U241" s="80">
        <f t="shared" si="208"/>
        <v>62053.989643330657</v>
      </c>
      <c r="W241" s="80">
        <f t="shared" si="209"/>
        <v>245602.75281327366</v>
      </c>
      <c r="X241" s="80">
        <f t="shared" ref="X241:AA241" si="222">W241*(1+X249)</f>
        <v>252970.83539767188</v>
      </c>
      <c r="Y241" s="80">
        <f t="shared" si="222"/>
        <v>260559.96045960204</v>
      </c>
      <c r="Z241" s="80">
        <f t="shared" si="222"/>
        <v>268376.75927339011</v>
      </c>
      <c r="AA241" s="80">
        <f t="shared" si="222"/>
        <v>276428.06205159181</v>
      </c>
    </row>
    <row r="242" spans="1:27" x14ac:dyDescent="0.25">
      <c r="A242" s="15" t="s">
        <v>134</v>
      </c>
      <c r="E242" s="80">
        <f t="shared" ref="E242:K242" si="223">E184*1000000/E213</f>
        <v>84960.099750623442</v>
      </c>
      <c r="F242" s="80">
        <f t="shared" si="223"/>
        <v>80765.799256505576</v>
      </c>
      <c r="G242" s="80">
        <f t="shared" si="223"/>
        <v>102437.50000000006</v>
      </c>
      <c r="H242" s="80">
        <f t="shared" si="223"/>
        <v>79691.139240506323</v>
      </c>
      <c r="I242" s="80">
        <f t="shared" si="223"/>
        <v>84768.434670116418</v>
      </c>
      <c r="J242" s="146">
        <f t="shared" si="223"/>
        <v>77462.765957446813</v>
      </c>
      <c r="K242" s="80">
        <f t="shared" si="223"/>
        <v>99570.637119113599</v>
      </c>
      <c r="L242" s="80">
        <f>L184*1000000/L213</f>
        <v>82651.493598862013</v>
      </c>
      <c r="M242" s="80">
        <f>M184*1000000/M213</f>
        <v>88105.997210599715</v>
      </c>
      <c r="N242" s="80">
        <f>N184*1000000/N213</f>
        <v>82697.095435684649</v>
      </c>
      <c r="O242" s="80">
        <f>O184*1000000/O213</f>
        <v>105746.51810584961</v>
      </c>
      <c r="P242" s="80">
        <f>P184*1000000/P213</f>
        <v>86260.387811634355</v>
      </c>
      <c r="R242" s="80">
        <f t="shared" si="205"/>
        <v>90749.177126917712</v>
      </c>
      <c r="S242" s="80">
        <f t="shared" si="206"/>
        <v>85178.008298755187</v>
      </c>
      <c r="T242" s="80">
        <f t="shared" si="207"/>
        <v>108918.9136490251</v>
      </c>
      <c r="U242" s="80">
        <f t="shared" si="208"/>
        <v>88848.199445983395</v>
      </c>
      <c r="W242" s="80">
        <f t="shared" si="209"/>
        <v>373694.29852068139</v>
      </c>
      <c r="X242" s="80">
        <f t="shared" ref="X242:AA242" si="224">W242*(1+X250)</f>
        <v>384905.12747630186</v>
      </c>
      <c r="Y242" s="80">
        <f t="shared" si="224"/>
        <v>396452.2813005909</v>
      </c>
      <c r="Z242" s="80">
        <f t="shared" si="224"/>
        <v>408345.84973960865</v>
      </c>
      <c r="AA242" s="80">
        <f t="shared" si="224"/>
        <v>420596.22523179691</v>
      </c>
    </row>
    <row r="244" spans="1:27" x14ac:dyDescent="0.25">
      <c r="A244" s="33" t="s">
        <v>236</v>
      </c>
    </row>
    <row r="245" spans="1:27" x14ac:dyDescent="0.25">
      <c r="A245" s="15" t="s">
        <v>129</v>
      </c>
      <c r="E245" s="29"/>
      <c r="F245" s="29"/>
      <c r="G245" s="29"/>
      <c r="H245" s="29"/>
      <c r="I245" s="29">
        <f t="shared" ref="I245:K245" si="225">I237/E237-1</f>
        <v>-1.4120752735536701E-2</v>
      </c>
      <c r="J245" s="145">
        <f t="shared" si="225"/>
        <v>-1.5709239980368106E-2</v>
      </c>
      <c r="K245" s="29">
        <f t="shared" si="225"/>
        <v>1.278599020486948E-2</v>
      </c>
      <c r="L245" s="29">
        <f>L237/H237-1</f>
        <v>-3.3952714085259683E-2</v>
      </c>
      <c r="M245" s="29">
        <f>M237/I237-1</f>
        <v>-2.7059902975999806E-2</v>
      </c>
      <c r="N245" s="29">
        <f>N237/J237-1</f>
        <v>-5.7186580240457308E-2</v>
      </c>
      <c r="O245" s="29">
        <f>O237/K237-1</f>
        <v>-5.6235847649097503E-2</v>
      </c>
      <c r="P245" s="29">
        <f>P237/L237-1</f>
        <v>-1.707359384224294E-2</v>
      </c>
      <c r="R245" s="77">
        <v>0.03</v>
      </c>
      <c r="S245" s="78">
        <v>0.03</v>
      </c>
      <c r="T245" s="78">
        <v>0.03</v>
      </c>
      <c r="U245" s="78">
        <v>0.03</v>
      </c>
      <c r="W245" s="65"/>
      <c r="X245" s="78">
        <v>0.03</v>
      </c>
      <c r="Y245" s="78">
        <v>0.03</v>
      </c>
      <c r="Z245" s="78">
        <v>0.03</v>
      </c>
      <c r="AA245" s="78">
        <v>0.03</v>
      </c>
    </row>
    <row r="246" spans="1:27" x14ac:dyDescent="0.25">
      <c r="A246" s="15" t="s">
        <v>130</v>
      </c>
      <c r="I246" s="29">
        <f t="shared" ref="I246:I250" si="226">I238/E238-1</f>
        <v>-2.0987930078839145E-2</v>
      </c>
      <c r="J246" s="145">
        <f t="shared" ref="J246:J250" si="227">J238/F238-1</f>
        <v>-4.4135534232045304E-2</v>
      </c>
      <c r="K246" s="29">
        <f t="shared" ref="K246:P250" si="228">K238/G238-1</f>
        <v>-3.8472127501452791E-2</v>
      </c>
      <c r="L246" s="29">
        <f t="shared" si="228"/>
        <v>-9.8228016639470339E-2</v>
      </c>
      <c r="M246" s="29">
        <f t="shared" si="228"/>
        <v>-7.8618871141853397E-2</v>
      </c>
      <c r="N246" s="29">
        <f t="shared" si="228"/>
        <v>-5.9686779894158604E-2</v>
      </c>
      <c r="O246" s="29">
        <f t="shared" si="228"/>
        <v>-5.3766140375467009E-2</v>
      </c>
      <c r="P246" s="29">
        <f t="shared" si="228"/>
        <v>-3.8055142668120823E-3</v>
      </c>
      <c r="R246" s="77">
        <v>0.03</v>
      </c>
      <c r="S246" s="78">
        <v>0.03</v>
      </c>
      <c r="T246" s="78">
        <v>0.03</v>
      </c>
      <c r="U246" s="78">
        <v>0.03</v>
      </c>
      <c r="W246" s="65"/>
      <c r="X246" s="78">
        <v>0.03</v>
      </c>
      <c r="Y246" s="78">
        <v>0.03</v>
      </c>
      <c r="Z246" s="78">
        <v>0.03</v>
      </c>
      <c r="AA246" s="78">
        <v>0.03</v>
      </c>
    </row>
    <row r="247" spans="1:27" x14ac:dyDescent="0.25">
      <c r="A247" s="15" t="s">
        <v>131</v>
      </c>
      <c r="I247" s="29">
        <f t="shared" si="226"/>
        <v>-8.1489879428107148E-3</v>
      </c>
      <c r="J247" s="145">
        <f t="shared" si="227"/>
        <v>-2.8322940430004051E-2</v>
      </c>
      <c r="K247" s="29">
        <f t="shared" si="228"/>
        <v>-1.4681257700869255E-2</v>
      </c>
      <c r="L247" s="29">
        <f t="shared" ref="L247:P250" si="229">L239/H239-1</f>
        <v>-6.4898049560074389E-2</v>
      </c>
      <c r="M247" s="29">
        <f t="shared" si="229"/>
        <v>-8.9273558816050702E-2</v>
      </c>
      <c r="N247" s="29">
        <f t="shared" si="229"/>
        <v>-7.0572911796218496E-2</v>
      </c>
      <c r="O247" s="29">
        <f t="shared" si="229"/>
        <v>-4.4198771806505444E-2</v>
      </c>
      <c r="P247" s="29">
        <f t="shared" si="229"/>
        <v>1.6997656322603749E-2</v>
      </c>
      <c r="R247" s="77">
        <v>0.03</v>
      </c>
      <c r="S247" s="78">
        <v>0.03</v>
      </c>
      <c r="T247" s="78">
        <v>0.03</v>
      </c>
      <c r="U247" s="78">
        <v>0.03</v>
      </c>
      <c r="W247" s="65"/>
      <c r="X247" s="78">
        <v>0.03</v>
      </c>
      <c r="Y247" s="78">
        <v>0.03</v>
      </c>
      <c r="Z247" s="78">
        <v>0.03</v>
      </c>
      <c r="AA247" s="78">
        <v>0.03</v>
      </c>
    </row>
    <row r="248" spans="1:27" x14ac:dyDescent="0.25">
      <c r="A248" s="15" t="s">
        <v>132</v>
      </c>
      <c r="I248" s="29">
        <f t="shared" si="226"/>
        <v>-2.7395652216167798E-2</v>
      </c>
      <c r="J248" s="145">
        <f t="shared" si="227"/>
        <v>-2.2732934212301714E-2</v>
      </c>
      <c r="K248" s="29">
        <f t="shared" si="228"/>
        <v>-3.5957572130533189E-2</v>
      </c>
      <c r="L248" s="29">
        <f t="shared" si="229"/>
        <v>-7.9102188369304383E-3</v>
      </c>
      <c r="M248" s="29">
        <f t="shared" si="229"/>
        <v>1.4545472374098978E-2</v>
      </c>
      <c r="N248" s="29">
        <f t="shared" si="229"/>
        <v>1.5681497566476521E-2</v>
      </c>
      <c r="O248" s="29">
        <f t="shared" si="229"/>
        <v>7.0615933692806276E-2</v>
      </c>
      <c r="P248" s="29">
        <f t="shared" si="229"/>
        <v>3.9328333434113905E-2</v>
      </c>
      <c r="R248" s="77">
        <v>0.03</v>
      </c>
      <c r="S248" s="78">
        <v>0.03</v>
      </c>
      <c r="T248" s="78">
        <v>0.03</v>
      </c>
      <c r="U248" s="78">
        <v>0.03</v>
      </c>
      <c r="W248" s="65"/>
      <c r="X248" s="78">
        <v>0.03</v>
      </c>
      <c r="Y248" s="78">
        <v>0.03</v>
      </c>
      <c r="Z248" s="78">
        <v>0.03</v>
      </c>
      <c r="AA248" s="78">
        <v>0.03</v>
      </c>
    </row>
    <row r="249" spans="1:27" x14ac:dyDescent="0.25">
      <c r="A249" s="15" t="s">
        <v>133</v>
      </c>
      <c r="I249" s="29">
        <f t="shared" si="226"/>
        <v>2.4153757982538826E-2</v>
      </c>
      <c r="J249" s="145">
        <f t="shared" si="227"/>
        <v>-4.9087604710688071E-3</v>
      </c>
      <c r="K249" s="29">
        <f t="shared" si="228"/>
        <v>1.0178651674471739E-2</v>
      </c>
      <c r="L249" s="29">
        <f t="shared" si="229"/>
        <v>-7.2458545031331978E-3</v>
      </c>
      <c r="M249" s="29">
        <f t="shared" si="229"/>
        <v>-3.4792277773998292E-2</v>
      </c>
      <c r="N249" s="29">
        <f t="shared" si="229"/>
        <v>-3.1345104023589809E-2</v>
      </c>
      <c r="O249" s="29">
        <f t="shared" si="229"/>
        <v>2.9764839176711355E-3</v>
      </c>
      <c r="P249" s="29">
        <f t="shared" si="229"/>
        <v>2.9489817953315178E-2</v>
      </c>
      <c r="R249" s="77">
        <v>0.03</v>
      </c>
      <c r="S249" s="78">
        <v>0.03</v>
      </c>
      <c r="T249" s="78">
        <v>0.03</v>
      </c>
      <c r="U249" s="78">
        <v>0.03</v>
      </c>
      <c r="W249" s="65"/>
      <c r="X249" s="78">
        <v>0.03</v>
      </c>
      <c r="Y249" s="78">
        <v>0.03</v>
      </c>
      <c r="Z249" s="78">
        <v>0.03</v>
      </c>
      <c r="AA249" s="78">
        <v>0.03</v>
      </c>
    </row>
    <row r="250" spans="1:27" x14ac:dyDescent="0.25">
      <c r="A250" s="15" t="s">
        <v>134</v>
      </c>
      <c r="I250" s="29">
        <f t="shared" si="226"/>
        <v>-2.2559422725444422E-3</v>
      </c>
      <c r="J250" s="145">
        <f t="shared" si="227"/>
        <v>-4.0896435489588878E-2</v>
      </c>
      <c r="K250" s="29">
        <f t="shared" si="228"/>
        <v>-2.7986458873815345E-2</v>
      </c>
      <c r="L250" s="29">
        <f t="shared" si="229"/>
        <v>3.7147848387778737E-2</v>
      </c>
      <c r="M250" s="29">
        <f t="shared" si="229"/>
        <v>3.9372704633177547E-2</v>
      </c>
      <c r="N250" s="29">
        <f t="shared" si="229"/>
        <v>6.7572199540528288E-2</v>
      </c>
      <c r="O250" s="29">
        <f t="shared" si="229"/>
        <v>6.2025122721149017E-2</v>
      </c>
      <c r="P250" s="29">
        <f t="shared" si="229"/>
        <v>4.3663992695493592E-2</v>
      </c>
      <c r="R250" s="77">
        <v>0.03</v>
      </c>
      <c r="S250" s="77">
        <v>0.03</v>
      </c>
      <c r="T250" s="77">
        <v>0.03</v>
      </c>
      <c r="U250" s="77">
        <v>0.03</v>
      </c>
      <c r="W250" s="65"/>
      <c r="X250" s="78">
        <v>0.03</v>
      </c>
      <c r="Y250" s="78">
        <v>0.03</v>
      </c>
      <c r="Z250" s="78">
        <v>0.03</v>
      </c>
      <c r="AA250" s="78">
        <v>0.03</v>
      </c>
    </row>
    <row r="252" spans="1:27" x14ac:dyDescent="0.25">
      <c r="A252" s="33" t="s">
        <v>220</v>
      </c>
    </row>
    <row r="253" spans="1:27" x14ac:dyDescent="0.25">
      <c r="A253" s="15" t="s">
        <v>129</v>
      </c>
      <c r="H253" s="48">
        <f>0.82</f>
        <v>0.82</v>
      </c>
      <c r="L253" s="48">
        <v>0.81</v>
      </c>
      <c r="M253" s="48"/>
      <c r="N253" s="48"/>
      <c r="O253" s="48"/>
      <c r="P253" s="48"/>
      <c r="R253" s="77">
        <f t="shared" ref="R253:U258" si="230">$L253</f>
        <v>0.81</v>
      </c>
      <c r="S253" s="77">
        <f t="shared" si="230"/>
        <v>0.81</v>
      </c>
      <c r="T253" s="77">
        <f t="shared" si="230"/>
        <v>0.81</v>
      </c>
      <c r="U253" s="77">
        <f t="shared" si="230"/>
        <v>0.81</v>
      </c>
      <c r="W253" s="65"/>
      <c r="X253" s="77">
        <f t="shared" ref="X253:AA258" si="231">$L253</f>
        <v>0.81</v>
      </c>
      <c r="Y253" s="77">
        <f t="shared" si="231"/>
        <v>0.81</v>
      </c>
      <c r="Z253" s="77">
        <f t="shared" si="231"/>
        <v>0.81</v>
      </c>
      <c r="AA253" s="77">
        <f t="shared" si="231"/>
        <v>0.81</v>
      </c>
    </row>
    <row r="254" spans="1:27" x14ac:dyDescent="0.25">
      <c r="A254" s="15" t="s">
        <v>130</v>
      </c>
      <c r="H254" s="48">
        <v>0.8</v>
      </c>
      <c r="L254" s="48">
        <v>0.8</v>
      </c>
      <c r="M254" s="48"/>
      <c r="N254" s="48"/>
      <c r="O254" s="48"/>
      <c r="P254" s="48"/>
      <c r="R254" s="77">
        <f t="shared" si="230"/>
        <v>0.8</v>
      </c>
      <c r="S254" s="77">
        <f t="shared" si="230"/>
        <v>0.8</v>
      </c>
      <c r="T254" s="77">
        <f t="shared" si="230"/>
        <v>0.8</v>
      </c>
      <c r="U254" s="77">
        <f t="shared" si="230"/>
        <v>0.8</v>
      </c>
      <c r="W254" s="65"/>
      <c r="X254" s="77">
        <f t="shared" si="231"/>
        <v>0.8</v>
      </c>
      <c r="Y254" s="77">
        <f t="shared" si="231"/>
        <v>0.8</v>
      </c>
      <c r="Z254" s="77">
        <f t="shared" si="231"/>
        <v>0.8</v>
      </c>
      <c r="AA254" s="77">
        <f t="shared" si="231"/>
        <v>0.8</v>
      </c>
    </row>
    <row r="255" spans="1:27" x14ac:dyDescent="0.25">
      <c r="A255" s="15" t="s">
        <v>131</v>
      </c>
      <c r="H255" s="48">
        <v>0.66</v>
      </c>
      <c r="L255" s="48">
        <v>0.67</v>
      </c>
      <c r="M255" s="48"/>
      <c r="N255" s="48"/>
      <c r="O255" s="48"/>
      <c r="P255" s="48"/>
      <c r="R255" s="77">
        <f t="shared" si="230"/>
        <v>0.67</v>
      </c>
      <c r="S255" s="77">
        <f t="shared" si="230"/>
        <v>0.67</v>
      </c>
      <c r="T255" s="77">
        <f t="shared" si="230"/>
        <v>0.67</v>
      </c>
      <c r="U255" s="77">
        <f t="shared" si="230"/>
        <v>0.67</v>
      </c>
      <c r="W255" s="65"/>
      <c r="X255" s="77">
        <f t="shared" si="231"/>
        <v>0.67</v>
      </c>
      <c r="Y255" s="77">
        <f t="shared" si="231"/>
        <v>0.67</v>
      </c>
      <c r="Z255" s="77">
        <f t="shared" si="231"/>
        <v>0.67</v>
      </c>
      <c r="AA255" s="77">
        <f t="shared" si="231"/>
        <v>0.67</v>
      </c>
    </row>
    <row r="256" spans="1:27" x14ac:dyDescent="0.25">
      <c r="A256" s="15" t="s">
        <v>132</v>
      </c>
      <c r="H256" s="48">
        <v>0.89</v>
      </c>
      <c r="L256" s="48">
        <v>0.89</v>
      </c>
      <c r="M256" s="48"/>
      <c r="N256" s="48"/>
      <c r="O256" s="48"/>
      <c r="P256" s="48"/>
      <c r="R256" s="77">
        <f t="shared" si="230"/>
        <v>0.89</v>
      </c>
      <c r="S256" s="77">
        <f t="shared" si="230"/>
        <v>0.89</v>
      </c>
      <c r="T256" s="77">
        <f t="shared" si="230"/>
        <v>0.89</v>
      </c>
      <c r="U256" s="77">
        <f t="shared" si="230"/>
        <v>0.89</v>
      </c>
      <c r="W256" s="65"/>
      <c r="X256" s="77">
        <f t="shared" si="231"/>
        <v>0.89</v>
      </c>
      <c r="Y256" s="77">
        <f t="shared" si="231"/>
        <v>0.89</v>
      </c>
      <c r="Z256" s="77">
        <f t="shared" si="231"/>
        <v>0.89</v>
      </c>
      <c r="AA256" s="77">
        <f t="shared" si="231"/>
        <v>0.89</v>
      </c>
    </row>
    <row r="257" spans="1:28" x14ac:dyDescent="0.25">
      <c r="A257" s="15" t="s">
        <v>133</v>
      </c>
      <c r="H257" s="48">
        <v>0.89</v>
      </c>
      <c r="L257" s="48">
        <v>0.89</v>
      </c>
      <c r="M257" s="48"/>
      <c r="N257" s="48"/>
      <c r="O257" s="48"/>
      <c r="P257" s="48"/>
      <c r="R257" s="77">
        <f t="shared" si="230"/>
        <v>0.89</v>
      </c>
      <c r="S257" s="77">
        <f t="shared" si="230"/>
        <v>0.89</v>
      </c>
      <c r="T257" s="77">
        <f t="shared" si="230"/>
        <v>0.89</v>
      </c>
      <c r="U257" s="77">
        <f t="shared" si="230"/>
        <v>0.89</v>
      </c>
      <c r="W257" s="65"/>
      <c r="X257" s="77">
        <f t="shared" si="231"/>
        <v>0.89</v>
      </c>
      <c r="Y257" s="77">
        <f t="shared" si="231"/>
        <v>0.89</v>
      </c>
      <c r="Z257" s="77">
        <f t="shared" si="231"/>
        <v>0.89</v>
      </c>
      <c r="AA257" s="77">
        <f t="shared" si="231"/>
        <v>0.89</v>
      </c>
    </row>
    <row r="258" spans="1:28" x14ac:dyDescent="0.25">
      <c r="A258" s="15" t="s">
        <v>134</v>
      </c>
      <c r="H258" s="81">
        <v>0.8</v>
      </c>
      <c r="L258" s="81">
        <f>0.8</f>
        <v>0.8</v>
      </c>
      <c r="M258" s="81"/>
      <c r="N258" s="81"/>
      <c r="O258" s="81"/>
      <c r="P258" s="81"/>
      <c r="R258" s="77">
        <f t="shared" si="230"/>
        <v>0.8</v>
      </c>
      <c r="S258" s="77">
        <f t="shared" si="230"/>
        <v>0.8</v>
      </c>
      <c r="T258" s="77">
        <f t="shared" si="230"/>
        <v>0.8</v>
      </c>
      <c r="U258" s="77">
        <f t="shared" si="230"/>
        <v>0.8</v>
      </c>
      <c r="W258" s="65"/>
      <c r="X258" s="77">
        <f t="shared" si="231"/>
        <v>0.8</v>
      </c>
      <c r="Y258" s="77">
        <f t="shared" si="231"/>
        <v>0.8</v>
      </c>
      <c r="Z258" s="77">
        <f t="shared" si="231"/>
        <v>0.8</v>
      </c>
      <c r="AA258" s="77">
        <f t="shared" si="231"/>
        <v>0.8</v>
      </c>
    </row>
    <row r="259" spans="1:28" x14ac:dyDescent="0.25">
      <c r="V259" s="43"/>
      <c r="W259" s="43"/>
      <c r="X259" s="43"/>
      <c r="Y259" s="43"/>
      <c r="Z259" s="43"/>
      <c r="AA259" s="43"/>
      <c r="AB259" s="43"/>
    </row>
    <row r="260" spans="1:28" x14ac:dyDescent="0.25">
      <c r="A260" s="26" t="s">
        <v>142</v>
      </c>
    </row>
    <row r="261" spans="1:28" x14ac:dyDescent="0.25">
      <c r="A261" s="10"/>
    </row>
    <row r="262" spans="1:28" x14ac:dyDescent="0.25">
      <c r="A262" s="15" t="s">
        <v>131</v>
      </c>
      <c r="D262" s="29">
        <v>-3.7999999999999999E-2</v>
      </c>
      <c r="E262" s="29">
        <v>-3.6999999999999998E-2</v>
      </c>
      <c r="F262" s="29">
        <v>-5.0999999999999997E-2</v>
      </c>
      <c r="G262" s="29">
        <v>-4.5999999999999999E-2</v>
      </c>
      <c r="H262" s="29">
        <v>-4.2000000000000003E-2</v>
      </c>
      <c r="I262" s="29">
        <v>5.0000000000000001E-3</v>
      </c>
      <c r="J262" s="145">
        <v>3.0000000000000001E-3</v>
      </c>
      <c r="K262" s="29">
        <v>-1.0999999999999999E-2</v>
      </c>
      <c r="L262" s="29">
        <v>-5.5E-2</v>
      </c>
      <c r="M262" s="29">
        <v>-7.9000000000000001E-2</v>
      </c>
      <c r="N262" s="29">
        <v>-6.0999999999999999E-2</v>
      </c>
      <c r="O262" s="29">
        <v>-0.02</v>
      </c>
      <c r="P262" s="29">
        <v>3.5000000000000003E-2</v>
      </c>
    </row>
    <row r="263" spans="1:28" x14ac:dyDescent="0.25">
      <c r="A263" s="15" t="s">
        <v>137</v>
      </c>
      <c r="D263" s="29">
        <v>-5.0000000000000001E-3</v>
      </c>
      <c r="E263" s="29">
        <v>-1.2999999999999999E-2</v>
      </c>
      <c r="F263" s="29">
        <v>0</v>
      </c>
      <c r="G263" s="29">
        <v>5.0000000000000001E-3</v>
      </c>
      <c r="H263" s="29">
        <v>1.2E-2</v>
      </c>
      <c r="I263" s="29">
        <v>3.0000000000000001E-3</v>
      </c>
      <c r="J263" s="145">
        <v>7.0000000000000001E-3</v>
      </c>
      <c r="K263" s="29">
        <v>-4.8000000000000001E-2</v>
      </c>
      <c r="L263" s="29">
        <v>-1.7999999999999999E-2</v>
      </c>
      <c r="M263" s="29">
        <v>-1.6E-2</v>
      </c>
      <c r="N263" s="29">
        <v>-7.0000000000000001E-3</v>
      </c>
      <c r="O263" s="29">
        <v>6.2E-2</v>
      </c>
      <c r="P263" s="29">
        <v>2.1000000000000001E-2</v>
      </c>
    </row>
    <row r="264" spans="1:28" x14ac:dyDescent="0.25">
      <c r="A264" s="15" t="s">
        <v>130</v>
      </c>
      <c r="D264" s="29">
        <v>-3.6999999999999998E-2</v>
      </c>
      <c r="E264" s="29">
        <v>-2.1000000000000001E-2</v>
      </c>
      <c r="F264" s="29">
        <v>-3.9E-2</v>
      </c>
      <c r="G264" s="29">
        <v>-3.5000000000000003E-2</v>
      </c>
      <c r="H264" s="29">
        <v>-4.2000000000000003E-2</v>
      </c>
      <c r="I264" s="29">
        <v>-4.2000000000000003E-2</v>
      </c>
      <c r="J264" s="145">
        <v>-4.7E-2</v>
      </c>
      <c r="K264" s="29">
        <v>-7.0999999999999994E-2</v>
      </c>
      <c r="L264" s="29">
        <v>-0.11899999999999999</v>
      </c>
      <c r="M264" s="29">
        <v>-0.10299999999999999</v>
      </c>
      <c r="N264" s="29">
        <v>-8.6999999999999994E-2</v>
      </c>
      <c r="O264" s="29">
        <v>-6.2E-2</v>
      </c>
      <c r="P264" s="29">
        <v>-2.3E-2</v>
      </c>
    </row>
    <row r="265" spans="1:28" x14ac:dyDescent="0.25">
      <c r="A265" s="15" t="s">
        <v>129</v>
      </c>
      <c r="D265" s="29">
        <v>-3.5000000000000003E-2</v>
      </c>
      <c r="E265" s="29">
        <v>-3.5000000000000003E-2</v>
      </c>
      <c r="F265" s="29">
        <v>-4.8000000000000001E-2</v>
      </c>
      <c r="G265" s="29">
        <v>-5.0999999999999997E-2</v>
      </c>
      <c r="H265" s="29">
        <v>-3.7999999999999999E-2</v>
      </c>
      <c r="I265" s="29">
        <v>-3.2000000000000001E-2</v>
      </c>
      <c r="J265" s="145">
        <v>-2.7E-2</v>
      </c>
      <c r="K265" s="29">
        <v>-2.9000000000000001E-2</v>
      </c>
      <c r="L265" s="29">
        <v>-7.0000000000000007E-2</v>
      </c>
      <c r="M265" s="29">
        <v>-6.4000000000000001E-2</v>
      </c>
      <c r="N265" s="29">
        <v>-8.1000000000000003E-2</v>
      </c>
      <c r="O265" s="29">
        <v>-4.9000000000000002E-2</v>
      </c>
      <c r="P265" s="29">
        <v>-2.5000000000000001E-2</v>
      </c>
    </row>
    <row r="266" spans="1:28" x14ac:dyDescent="0.25">
      <c r="A266" s="15" t="s">
        <v>8848</v>
      </c>
      <c r="D266" s="30">
        <v>-0.03</v>
      </c>
      <c r="E266" s="30">
        <v>-2.8000000000000001E-2</v>
      </c>
      <c r="F266" s="30">
        <v>-2.5000000000000001E-2</v>
      </c>
      <c r="G266" s="30">
        <v>-2.7E-2</v>
      </c>
      <c r="H266" s="30">
        <v>-3.2000000000000001E-2</v>
      </c>
      <c r="I266" s="30">
        <v>-2.9000000000000001E-2</v>
      </c>
      <c r="J266" s="147">
        <v>-1.7000000000000001E-2</v>
      </c>
      <c r="K266" s="30">
        <v>-3.5000000000000003E-2</v>
      </c>
      <c r="L266" s="30">
        <v>-0.05</v>
      </c>
      <c r="M266" s="30">
        <v>-7.0000000000000007E-2</v>
      </c>
      <c r="N266" s="30">
        <v>-6.2E-2</v>
      </c>
      <c r="O266" s="30">
        <v>-0.03</v>
      </c>
      <c r="P266" s="30">
        <v>-4.0000000000000001E-3</v>
      </c>
    </row>
    <row r="267" spans="1:28" x14ac:dyDescent="0.25">
      <c r="A267" s="9" t="s">
        <v>138</v>
      </c>
      <c r="D267" s="12">
        <v>-0.03</v>
      </c>
      <c r="E267" s="12">
        <v>-2.9000000000000001E-2</v>
      </c>
      <c r="F267" s="12">
        <v>-3.5000000000000003E-2</v>
      </c>
      <c r="G267" s="12">
        <v>-3.3000000000000002E-2</v>
      </c>
      <c r="H267" s="12">
        <v>-0.03</v>
      </c>
      <c r="I267" s="12">
        <v>-1.7000000000000001E-2</v>
      </c>
      <c r="J267" s="148">
        <v>-1.2E-2</v>
      </c>
      <c r="K267" s="13">
        <v>-3.2000000000000001E-2</v>
      </c>
      <c r="L267" s="13">
        <v>-5.6000000000000001E-2</v>
      </c>
      <c r="M267" s="13"/>
      <c r="N267" s="13"/>
      <c r="O267" s="13"/>
      <c r="P267" s="13"/>
    </row>
    <row r="268" spans="1:28" x14ac:dyDescent="0.25">
      <c r="A268" s="15"/>
      <c r="D268" s="29"/>
      <c r="E268" s="29"/>
      <c r="F268" s="29"/>
      <c r="G268" s="29"/>
      <c r="H268" s="29"/>
      <c r="I268" s="29"/>
      <c r="J268" s="145"/>
      <c r="K268" s="29"/>
      <c r="L268" s="29"/>
      <c r="M268" s="29"/>
      <c r="N268" s="29"/>
      <c r="O268" s="29"/>
      <c r="P268" s="29"/>
    </row>
    <row r="269" spans="1:28" x14ac:dyDescent="0.25">
      <c r="A269" s="15" t="s">
        <v>134</v>
      </c>
      <c r="D269" s="29">
        <v>-9.4E-2</v>
      </c>
      <c r="E269" s="29">
        <v>-0.10100000000000001</v>
      </c>
      <c r="F269" s="29">
        <v>-0.106</v>
      </c>
      <c r="G269" s="29">
        <v>-6.6000000000000003E-2</v>
      </c>
      <c r="H269" s="29">
        <v>-5.0999999999999997E-2</v>
      </c>
      <c r="I269" s="29">
        <v>-6.6000000000000003E-2</v>
      </c>
      <c r="J269" s="145">
        <v>-4.2999999999999997E-2</v>
      </c>
      <c r="K269" s="29">
        <v>-1.7000000000000001E-2</v>
      </c>
      <c r="L269" s="29">
        <v>-1.4E-2</v>
      </c>
      <c r="M269" s="29">
        <v>-1.0999999999999999E-2</v>
      </c>
      <c r="N269" s="29">
        <v>-1.2E-2</v>
      </c>
      <c r="O269" s="29">
        <v>-2.1999999999999999E-2</v>
      </c>
      <c r="P269" s="29">
        <v>-3.0000000000000001E-3</v>
      </c>
    </row>
    <row r="270" spans="1:28" x14ac:dyDescent="0.25">
      <c r="A270" s="15"/>
      <c r="D270" s="29"/>
      <c r="E270" s="29"/>
      <c r="F270" s="29"/>
      <c r="G270" s="29"/>
      <c r="H270" s="29"/>
      <c r="I270" s="29"/>
      <c r="J270" s="145"/>
      <c r="K270" s="29"/>
      <c r="L270" s="29"/>
      <c r="M270" s="29"/>
      <c r="N270" s="29"/>
      <c r="O270" s="29"/>
      <c r="P270" s="29"/>
    </row>
    <row r="271" spans="1:28" x14ac:dyDescent="0.25">
      <c r="A271" s="9" t="s">
        <v>139</v>
      </c>
      <c r="D271" s="12">
        <v>-3.4000000000000002E-2</v>
      </c>
      <c r="E271" s="12">
        <v>-3.3000000000000002E-2</v>
      </c>
      <c r="F271" s="12">
        <v>-3.9E-2</v>
      </c>
      <c r="G271" s="12">
        <v>-3.5000000000000003E-2</v>
      </c>
      <c r="H271" s="12">
        <v>-3.1E-2</v>
      </c>
      <c r="I271" s="12">
        <v>-1.9E-2</v>
      </c>
      <c r="J271" s="148">
        <v>-1.4E-2</v>
      </c>
      <c r="K271" s="12">
        <v>-3.1E-2</v>
      </c>
      <c r="L271" s="12">
        <v>-5.3999999999999999E-2</v>
      </c>
      <c r="M271" s="12">
        <v>-6.2E-2</v>
      </c>
      <c r="N271" s="12">
        <v>-5.7000000000000002E-2</v>
      </c>
      <c r="O271" s="12">
        <v>-1.7999999999999999E-2</v>
      </c>
      <c r="P271" s="12">
        <v>6.0000000000000001E-3</v>
      </c>
    </row>
    <row r="272" spans="1:28" x14ac:dyDescent="0.25">
      <c r="A272" s="9"/>
    </row>
    <row r="273" spans="1:16" x14ac:dyDescent="0.25">
      <c r="A273" s="26" t="s">
        <v>143</v>
      </c>
    </row>
    <row r="274" spans="1:16" x14ac:dyDescent="0.25">
      <c r="A274" s="10"/>
    </row>
    <row r="275" spans="1:16" x14ac:dyDescent="0.25">
      <c r="A275" s="15" t="s">
        <v>131</v>
      </c>
      <c r="D275" s="29">
        <v>-3.5999999999999997E-2</v>
      </c>
      <c r="E275" s="29">
        <v>-3.6999999999999998E-2</v>
      </c>
      <c r="F275" s="29">
        <v>-6.2E-2</v>
      </c>
      <c r="G275" s="29">
        <v>-6.3E-2</v>
      </c>
      <c r="H275" s="29">
        <v>-4.4999999999999998E-2</v>
      </c>
      <c r="I275" s="29">
        <v>8.0000000000000002E-3</v>
      </c>
      <c r="J275" s="145">
        <v>2.5999999999999999E-2</v>
      </c>
      <c r="K275" s="29">
        <v>6.0000000000000001E-3</v>
      </c>
      <c r="L275" s="29">
        <v>-8.0000000000000002E-3</v>
      </c>
      <c r="M275" s="29">
        <v>-6.6000000000000003E-2</v>
      </c>
      <c r="N275" s="29">
        <v>-4.7E-2</v>
      </c>
      <c r="O275" s="29">
        <v>1.9E-2</v>
      </c>
      <c r="P275" s="29">
        <v>3.5999999999999997E-2</v>
      </c>
    </row>
    <row r="276" spans="1:16" x14ac:dyDescent="0.25">
      <c r="A276" s="15" t="s">
        <v>137</v>
      </c>
      <c r="D276" s="29">
        <v>0</v>
      </c>
      <c r="E276" s="29">
        <v>-1.0999999999999999E-2</v>
      </c>
      <c r="F276" s="29">
        <v>-3.0000000000000001E-3</v>
      </c>
      <c r="G276" s="29">
        <v>5.0000000000000001E-3</v>
      </c>
      <c r="H276" s="29">
        <v>1.4E-2</v>
      </c>
      <c r="I276" s="29">
        <v>5.0000000000000001E-3</v>
      </c>
      <c r="J276" s="145">
        <v>1.2999999999999999E-2</v>
      </c>
      <c r="K276" s="29">
        <v>-4.9000000000000002E-2</v>
      </c>
      <c r="L276" s="29">
        <v>-1E-3</v>
      </c>
      <c r="M276" s="29">
        <v>-5.0000000000000001E-3</v>
      </c>
      <c r="N276" s="29">
        <v>3.0000000000000001E-3</v>
      </c>
      <c r="O276" s="29">
        <v>7.0000000000000007E-2</v>
      </c>
      <c r="P276" s="29">
        <v>1.7000000000000001E-2</v>
      </c>
    </row>
    <row r="277" spans="1:16" x14ac:dyDescent="0.25">
      <c r="A277" s="15" t="s">
        <v>130</v>
      </c>
      <c r="D277" s="29">
        <v>-4.2999999999999997E-2</v>
      </c>
      <c r="E277" s="29">
        <v>-3.4000000000000002E-2</v>
      </c>
      <c r="F277" s="29">
        <v>-5.8000000000000003E-2</v>
      </c>
      <c r="G277" s="29">
        <v>-4.9000000000000002E-2</v>
      </c>
      <c r="H277" s="29">
        <v>-4.8000000000000001E-2</v>
      </c>
      <c r="I277" s="29">
        <v>-0.04</v>
      </c>
      <c r="J277" s="145">
        <v>-3.1E-2</v>
      </c>
      <c r="K277" s="29">
        <v>-7.4999999999999997E-2</v>
      </c>
      <c r="L277" s="29">
        <v>-8.5000000000000006E-2</v>
      </c>
      <c r="M277" s="29">
        <v>-0.1</v>
      </c>
      <c r="N277" s="29">
        <v>-8.5000000000000006E-2</v>
      </c>
      <c r="O277" s="29">
        <v>-3.5000000000000003E-2</v>
      </c>
      <c r="P277" s="29">
        <v>-3.5000000000000003E-2</v>
      </c>
    </row>
    <row r="278" spans="1:16" x14ac:dyDescent="0.25">
      <c r="A278" s="15" t="s">
        <v>129</v>
      </c>
      <c r="D278" s="29">
        <v>-4.4999999999999998E-2</v>
      </c>
      <c r="E278" s="29">
        <v>-4.9000000000000002E-2</v>
      </c>
      <c r="F278" s="29">
        <v>-6.0999999999999999E-2</v>
      </c>
      <c r="G278" s="29">
        <v>-6.4000000000000001E-2</v>
      </c>
      <c r="H278" s="29">
        <v>-4.2000000000000003E-2</v>
      </c>
      <c r="I278" s="29">
        <v>-2.9000000000000001E-2</v>
      </c>
      <c r="J278" s="145">
        <v>-2.5999999999999999E-2</v>
      </c>
      <c r="K278" s="29">
        <v>-0.03</v>
      </c>
      <c r="L278" s="29">
        <v>-5.7000000000000002E-2</v>
      </c>
      <c r="M278" s="29">
        <v>-6.3E-2</v>
      </c>
      <c r="N278" s="29">
        <v>-7.3999999999999996E-2</v>
      </c>
      <c r="O278" s="29">
        <v>-4.2999999999999997E-2</v>
      </c>
      <c r="P278" s="29">
        <v>-3.4000000000000002E-2</v>
      </c>
    </row>
    <row r="279" spans="1:16" x14ac:dyDescent="0.25">
      <c r="A279" s="15" t="s">
        <v>8848</v>
      </c>
      <c r="D279" s="30">
        <v>-2.5999999999999999E-2</v>
      </c>
      <c r="E279" s="30">
        <v>-2.8000000000000001E-2</v>
      </c>
      <c r="F279" s="30">
        <v>-2.5999999999999999E-2</v>
      </c>
      <c r="G279" s="30">
        <v>-2.5999999999999999E-2</v>
      </c>
      <c r="H279" s="30">
        <v>-0.03</v>
      </c>
      <c r="I279" s="30">
        <v>-2.5999999999999999E-2</v>
      </c>
      <c r="J279" s="147">
        <v>-1.4E-2</v>
      </c>
      <c r="K279" s="30">
        <v>-4.2999999999999997E-2</v>
      </c>
      <c r="L279" s="30">
        <v>-3.6999999999999998E-2</v>
      </c>
      <c r="M279" s="30">
        <v>-6.6000000000000003E-2</v>
      </c>
      <c r="N279" s="30">
        <v>-6.5000000000000002E-2</v>
      </c>
      <c r="O279" s="30">
        <v>-2.5999999999999999E-2</v>
      </c>
      <c r="P279" s="30">
        <v>-1.4E-2</v>
      </c>
    </row>
    <row r="280" spans="1:16" x14ac:dyDescent="0.25">
      <c r="A280" s="9" t="s">
        <v>138</v>
      </c>
      <c r="D280" s="12">
        <v>-0.03</v>
      </c>
      <c r="E280" s="12">
        <v>-3.2000000000000001E-2</v>
      </c>
      <c r="F280" s="12">
        <v>-4.1000000000000002E-2</v>
      </c>
      <c r="G280" s="12">
        <v>-0.04</v>
      </c>
      <c r="H280" s="12">
        <v>-0.03</v>
      </c>
      <c r="I280" s="12">
        <v>-1.4999999999999999E-2</v>
      </c>
      <c r="J280" s="148">
        <v>-4.0000000000000001E-3</v>
      </c>
      <c r="K280" s="12">
        <v>-3.3000000000000002E-2</v>
      </c>
      <c r="L280" s="12">
        <v>-3.2000000000000001E-2</v>
      </c>
      <c r="M280" s="13"/>
      <c r="N280" s="13"/>
      <c r="O280" s="13"/>
      <c r="P280" s="13"/>
    </row>
    <row r="281" spans="1:16" x14ac:dyDescent="0.25">
      <c r="A281" s="15"/>
      <c r="D281" s="29"/>
      <c r="E281" s="29"/>
      <c r="F281" s="29"/>
      <c r="G281" s="29"/>
      <c r="H281" s="29"/>
      <c r="I281" s="29"/>
      <c r="J281" s="145"/>
      <c r="K281" s="29"/>
      <c r="L281" s="29"/>
      <c r="M281" s="29"/>
      <c r="N281" s="29"/>
      <c r="O281" s="29"/>
      <c r="P281" s="29"/>
    </row>
    <row r="282" spans="1:16" x14ac:dyDescent="0.25">
      <c r="A282" s="15" t="s">
        <v>134</v>
      </c>
      <c r="D282" s="29">
        <v>-6.6000000000000003E-2</v>
      </c>
      <c r="E282" s="29">
        <v>-6.7000000000000004E-2</v>
      </c>
      <c r="F282" s="29">
        <v>-9.2999999999999999E-2</v>
      </c>
      <c r="G282" s="29">
        <v>-5.1999999999999998E-2</v>
      </c>
      <c r="H282" s="29">
        <v>-3.3000000000000002E-2</v>
      </c>
      <c r="I282" s="29">
        <v>-2.5000000000000001E-2</v>
      </c>
      <c r="J282" s="145">
        <v>6.0000000000000001E-3</v>
      </c>
      <c r="K282" s="29">
        <v>1.0999999999999999E-2</v>
      </c>
      <c r="L282" s="29">
        <v>-3.0000000000000001E-3</v>
      </c>
      <c r="M282" s="29">
        <v>-4.0000000000000001E-3</v>
      </c>
      <c r="N282" s="29">
        <v>1E-3</v>
      </c>
      <c r="O282" s="29">
        <v>-7.0000000000000001E-3</v>
      </c>
      <c r="P282" s="29">
        <v>1.7000000000000001E-2</v>
      </c>
    </row>
    <row r="283" spans="1:16" x14ac:dyDescent="0.25">
      <c r="A283" s="15"/>
      <c r="D283" s="29"/>
      <c r="E283" s="29"/>
      <c r="F283" s="29"/>
      <c r="G283" s="29"/>
      <c r="H283" s="29"/>
      <c r="I283" s="29"/>
      <c r="J283" s="145"/>
      <c r="K283" s="29"/>
      <c r="L283" s="29"/>
      <c r="M283" s="29"/>
      <c r="N283" s="29"/>
      <c r="O283" s="29"/>
      <c r="P283" s="29"/>
    </row>
    <row r="284" spans="1:16" x14ac:dyDescent="0.25">
      <c r="A284" s="9" t="s">
        <v>140</v>
      </c>
      <c r="D284" s="12">
        <v>-3.2000000000000001E-2</v>
      </c>
      <c r="E284" s="12">
        <v>-3.4000000000000002E-2</v>
      </c>
      <c r="F284" s="12">
        <v>-4.3999999999999997E-2</v>
      </c>
      <c r="G284" s="12">
        <v>-0.04</v>
      </c>
      <c r="H284" s="12">
        <v>-0.03</v>
      </c>
      <c r="I284" s="12">
        <v>-1.4999999999999999E-2</v>
      </c>
      <c r="J284" s="148">
        <v>-3.0000000000000001E-3</v>
      </c>
      <c r="K284" s="12">
        <v>-3.1E-2</v>
      </c>
      <c r="L284" s="12">
        <v>-3.1E-2</v>
      </c>
      <c r="M284" s="12">
        <v>-5.5E-2</v>
      </c>
      <c r="N284" s="12">
        <v>-4.9000000000000002E-2</v>
      </c>
      <c r="O284" s="12">
        <v>-2E-3</v>
      </c>
      <c r="P284" s="12">
        <v>0</v>
      </c>
    </row>
    <row r="285" spans="1:16" x14ac:dyDescent="0.25">
      <c r="A285" s="9"/>
    </row>
    <row r="286" spans="1:16" x14ac:dyDescent="0.25">
      <c r="A286" s="26" t="s">
        <v>144</v>
      </c>
    </row>
    <row r="287" spans="1:16" x14ac:dyDescent="0.25">
      <c r="A287" s="10"/>
    </row>
    <row r="288" spans="1:16" x14ac:dyDescent="0.25">
      <c r="A288" s="15" t="s">
        <v>131</v>
      </c>
      <c r="D288" s="29">
        <v>-4.2999999999999997E-2</v>
      </c>
      <c r="E288" s="29">
        <v>-3.6999999999999998E-2</v>
      </c>
      <c r="F288" s="29">
        <v>-2.9000000000000001E-2</v>
      </c>
      <c r="G288" s="29">
        <v>-1.2E-2</v>
      </c>
      <c r="H288" s="29">
        <v>-3.4000000000000002E-2</v>
      </c>
      <c r="I288" s="29">
        <v>-2E-3</v>
      </c>
      <c r="J288" s="145">
        <v>-4.2000000000000003E-2</v>
      </c>
      <c r="K288" s="29">
        <v>-4.3999999999999997E-2</v>
      </c>
      <c r="L288" s="29">
        <v>-0.14699999999999999</v>
      </c>
      <c r="M288" s="29">
        <v>-0.10199999999999999</v>
      </c>
      <c r="N288" s="29">
        <v>-9.0999999999999998E-2</v>
      </c>
      <c r="O288" s="29">
        <v>-9.8000000000000004E-2</v>
      </c>
      <c r="P288" s="29">
        <v>3.4000000000000002E-2</v>
      </c>
    </row>
    <row r="289" spans="1:27" x14ac:dyDescent="0.25">
      <c r="A289" s="15" t="s">
        <v>137</v>
      </c>
      <c r="D289" s="29">
        <v>-4.2999999999999997E-2</v>
      </c>
      <c r="E289" s="29">
        <v>-0.03</v>
      </c>
      <c r="F289" s="29">
        <v>2.3E-2</v>
      </c>
      <c r="G289" s="29">
        <v>4.0000000000000001E-3</v>
      </c>
      <c r="H289" s="29">
        <v>-5.0000000000000001E-3</v>
      </c>
      <c r="I289" s="29">
        <v>-1.2E-2</v>
      </c>
      <c r="J289" s="145">
        <v>-3.6999999999999998E-2</v>
      </c>
      <c r="K289" s="29">
        <v>-0.04</v>
      </c>
      <c r="L289" s="29">
        <v>-0.16600000000000001</v>
      </c>
      <c r="M289" s="29">
        <v>-0.106</v>
      </c>
      <c r="N289" s="29">
        <v>-0.1</v>
      </c>
      <c r="O289" s="29">
        <v>-7.0000000000000001E-3</v>
      </c>
      <c r="P289" s="29">
        <v>6.5000000000000002E-2</v>
      </c>
    </row>
    <row r="290" spans="1:27" x14ac:dyDescent="0.25">
      <c r="A290" s="15" t="s">
        <v>130</v>
      </c>
      <c r="D290" s="29">
        <v>-0.01</v>
      </c>
      <c r="E290" s="29">
        <v>3.1E-2</v>
      </c>
      <c r="F290" s="29">
        <v>4.2999999999999997E-2</v>
      </c>
      <c r="G290" s="29">
        <v>2.9000000000000001E-2</v>
      </c>
      <c r="H290" s="29">
        <v>-1.6E-2</v>
      </c>
      <c r="I290" s="29">
        <v>-4.8000000000000001E-2</v>
      </c>
      <c r="J290" s="145">
        <v>-0.11700000000000001</v>
      </c>
      <c r="K290" s="29">
        <v>-5.6000000000000001E-2</v>
      </c>
      <c r="L290" s="29">
        <v>-0.26300000000000001</v>
      </c>
      <c r="M290" s="29">
        <v>-0.112</v>
      </c>
      <c r="N290" s="29">
        <v>-0.1</v>
      </c>
      <c r="O290" s="29">
        <v>-0.17499999999999999</v>
      </c>
      <c r="P290" s="29">
        <v>3.7999999999999999E-2</v>
      </c>
    </row>
    <row r="291" spans="1:27" x14ac:dyDescent="0.25">
      <c r="A291" s="15" t="s">
        <v>129</v>
      </c>
      <c r="D291" s="29">
        <v>1.6E-2</v>
      </c>
      <c r="E291" s="29">
        <v>2.9000000000000001E-2</v>
      </c>
      <c r="F291" s="29">
        <v>1.0999999999999999E-2</v>
      </c>
      <c r="G291" s="29">
        <v>1.2999999999999999E-2</v>
      </c>
      <c r="H291" s="29">
        <v>-1.4999999999999999E-2</v>
      </c>
      <c r="I291" s="29">
        <v>-4.5999999999999999E-2</v>
      </c>
      <c r="J291" s="145">
        <v>-3.4000000000000002E-2</v>
      </c>
      <c r="K291" s="29">
        <v>-2.4E-2</v>
      </c>
      <c r="L291" s="29">
        <v>-0.126</v>
      </c>
      <c r="M291" s="29">
        <v>-7.0000000000000007E-2</v>
      </c>
      <c r="N291" s="29">
        <v>-0.109</v>
      </c>
      <c r="O291" s="29">
        <v>-7.8E-2</v>
      </c>
      <c r="P291" s="29">
        <v>1.7000000000000001E-2</v>
      </c>
    </row>
    <row r="292" spans="1:27" x14ac:dyDescent="0.25">
      <c r="A292" s="15" t="s">
        <v>8848</v>
      </c>
      <c r="D292" s="30">
        <v>-5.7000000000000002E-2</v>
      </c>
      <c r="E292" s="30">
        <v>-2.8000000000000001E-2</v>
      </c>
      <c r="F292" s="30">
        <v>-0.01</v>
      </c>
      <c r="G292" s="30">
        <v>-0.03</v>
      </c>
      <c r="H292" s="30">
        <v>-4.1000000000000002E-2</v>
      </c>
      <c r="I292" s="30">
        <v>-5.6000000000000001E-2</v>
      </c>
      <c r="J292" s="147">
        <v>-3.4000000000000002E-2</v>
      </c>
      <c r="K292" s="30">
        <v>0.04</v>
      </c>
      <c r="L292" s="30">
        <v>-0.159</v>
      </c>
      <c r="M292" s="30">
        <v>-0.10100000000000001</v>
      </c>
      <c r="N292" s="30">
        <v>-7.1999999999999995E-2</v>
      </c>
      <c r="O292" s="30">
        <v>-6.3E-2</v>
      </c>
      <c r="P292" s="30">
        <v>9.9000000000000005E-2</v>
      </c>
    </row>
    <row r="293" spans="1:27" x14ac:dyDescent="0.25">
      <c r="A293" s="9" t="s">
        <v>138</v>
      </c>
      <c r="D293" s="12">
        <v>-3.1E-2</v>
      </c>
      <c r="E293" s="12">
        <v>-1.4999999999999999E-2</v>
      </c>
      <c r="F293" s="12">
        <v>-8.0000000000000002E-3</v>
      </c>
      <c r="G293" s="12">
        <v>-5.0000000000000001E-3</v>
      </c>
      <c r="H293" s="12">
        <v>-2.7E-2</v>
      </c>
      <c r="I293" s="12">
        <v>-2.5000000000000001E-2</v>
      </c>
      <c r="J293" s="148">
        <v>-4.4999999999999998E-2</v>
      </c>
      <c r="K293" s="12">
        <v>-2.8000000000000001E-2</v>
      </c>
      <c r="L293" s="12">
        <v>-0.156</v>
      </c>
      <c r="M293" s="13"/>
      <c r="N293" s="13"/>
      <c r="O293" s="13"/>
      <c r="P293" s="13"/>
    </row>
    <row r="294" spans="1:27" x14ac:dyDescent="0.25">
      <c r="A294" s="15"/>
      <c r="D294" s="29"/>
      <c r="E294" s="29"/>
      <c r="F294" s="29"/>
      <c r="G294" s="29"/>
      <c r="H294" s="29"/>
      <c r="I294" s="29"/>
      <c r="J294" s="145"/>
      <c r="K294" s="29"/>
      <c r="L294" s="29"/>
      <c r="M294" s="29"/>
      <c r="N294" s="29"/>
      <c r="O294" s="29"/>
      <c r="P294" s="29"/>
    </row>
    <row r="295" spans="1:27" x14ac:dyDescent="0.25">
      <c r="A295" s="15" t="s">
        <v>134</v>
      </c>
      <c r="D295" s="29">
        <v>-0.151</v>
      </c>
      <c r="E295" s="29">
        <v>-0.161</v>
      </c>
      <c r="F295" s="29">
        <v>-0.127</v>
      </c>
      <c r="G295" s="29">
        <v>-0.1</v>
      </c>
      <c r="H295" s="29">
        <v>-8.8999999999999996E-2</v>
      </c>
      <c r="I295" s="29">
        <v>-0.14299999999999999</v>
      </c>
      <c r="J295" s="145">
        <v>-0.13700000000000001</v>
      </c>
      <c r="K295" s="29">
        <v>-8.4000000000000005E-2</v>
      </c>
      <c r="L295" s="29">
        <v>-4.2000000000000003E-2</v>
      </c>
      <c r="M295" s="29">
        <v>-2.5999999999999999E-2</v>
      </c>
      <c r="N295" s="29">
        <v>-3.5999999999999997E-2</v>
      </c>
      <c r="O295" s="29">
        <v>-6.2E-2</v>
      </c>
      <c r="P295" s="29">
        <v>-5.2999999999999999E-2</v>
      </c>
    </row>
    <row r="296" spans="1:27" x14ac:dyDescent="0.25">
      <c r="A296" s="15"/>
      <c r="D296" s="29"/>
      <c r="E296" s="29"/>
      <c r="F296" s="29"/>
      <c r="G296" s="29"/>
      <c r="H296" s="29"/>
      <c r="I296" s="29"/>
      <c r="J296" s="145"/>
      <c r="K296" s="29"/>
      <c r="L296" s="29"/>
      <c r="M296" s="29"/>
      <c r="N296" s="29"/>
      <c r="O296" s="29"/>
      <c r="P296" s="29"/>
    </row>
    <row r="297" spans="1:27" x14ac:dyDescent="0.25">
      <c r="A297" s="9" t="s">
        <v>141</v>
      </c>
      <c r="D297" s="12">
        <v>-4.2999999999999997E-2</v>
      </c>
      <c r="E297" s="12">
        <v>-0.03</v>
      </c>
      <c r="F297" s="12">
        <v>-0.02</v>
      </c>
      <c r="G297" s="12">
        <v>-1.4E-2</v>
      </c>
      <c r="H297" s="12">
        <v>-3.2000000000000001E-2</v>
      </c>
      <c r="I297" s="12">
        <v>-3.5999999999999997E-2</v>
      </c>
      <c r="J297" s="148">
        <v>-5.1999999999999998E-2</v>
      </c>
      <c r="K297" s="12">
        <v>-3.3000000000000002E-2</v>
      </c>
      <c r="L297" s="12">
        <v>-0.14799999999999999</v>
      </c>
      <c r="M297" s="12">
        <v>-9.1999999999999998E-2</v>
      </c>
      <c r="N297" s="12">
        <v>-8.8999999999999996E-2</v>
      </c>
      <c r="O297" s="12">
        <v>-8.4000000000000005E-2</v>
      </c>
      <c r="P297" s="12">
        <v>3.5000000000000003E-2</v>
      </c>
    </row>
    <row r="298" spans="1:27" collapsed="1" x14ac:dyDescent="0.25"/>
    <row r="299" spans="1:27" x14ac:dyDescent="0.25">
      <c r="A299" s="39" t="s">
        <v>217</v>
      </c>
      <c r="B299" s="40"/>
      <c r="C299" s="40"/>
      <c r="D299" s="40"/>
      <c r="E299" s="40"/>
      <c r="F299" s="40"/>
      <c r="G299" s="40"/>
      <c r="H299" s="40"/>
      <c r="I299" s="40"/>
      <c r="J299" s="40"/>
      <c r="K299" s="40"/>
      <c r="L299" s="40"/>
      <c r="M299" s="40"/>
      <c r="N299" s="40"/>
      <c r="O299" s="40"/>
      <c r="P299" s="40"/>
      <c r="Q299" s="41"/>
      <c r="R299" s="41"/>
      <c r="S299" s="41"/>
      <c r="T299" s="41"/>
      <c r="U299" s="41"/>
      <c r="V299" s="41"/>
      <c r="W299" s="41"/>
      <c r="X299" s="41"/>
      <c r="Y299" s="41"/>
      <c r="Z299" s="41"/>
      <c r="AA299" s="42"/>
    </row>
    <row r="301" spans="1:27" x14ac:dyDescent="0.25">
      <c r="A301" s="31" t="s">
        <v>218</v>
      </c>
      <c r="D301" s="29">
        <f t="shared" ref="D301:O301" si="232">D77/D72</f>
        <v>0.56784420879144704</v>
      </c>
      <c r="E301" s="29">
        <f t="shared" si="232"/>
        <v>0.57271703483695313</v>
      </c>
      <c r="F301" s="29">
        <f t="shared" si="232"/>
        <v>0.57973039399670201</v>
      </c>
      <c r="G301" s="29">
        <f t="shared" si="232"/>
        <v>0.57104808243257676</v>
      </c>
      <c r="H301" s="29">
        <f t="shared" si="232"/>
        <v>0.60515840738556648</v>
      </c>
      <c r="I301" s="29">
        <f t="shared" si="232"/>
        <v>0.60333104979319363</v>
      </c>
      <c r="J301" s="145">
        <f t="shared" si="232"/>
        <v>0.59753053048713622</v>
      </c>
      <c r="K301" s="29">
        <f t="shared" si="232"/>
        <v>0.58858985896282168</v>
      </c>
      <c r="L301" s="29">
        <f t="shared" si="232"/>
        <v>0.60532326142572368</v>
      </c>
      <c r="M301" s="29">
        <f t="shared" si="232"/>
        <v>0.62122844976853331</v>
      </c>
      <c r="N301" s="29">
        <f t="shared" si="232"/>
        <v>0.61635487296789471</v>
      </c>
      <c r="O301" s="29">
        <f t="shared" si="232"/>
        <v>0.61159902889893658</v>
      </c>
      <c r="P301" s="29">
        <f t="shared" ref="P301" si="233">P77/P72</f>
        <v>0.61327458861332118</v>
      </c>
      <c r="R301" s="77">
        <f>M301</f>
        <v>0.62122844976853331</v>
      </c>
      <c r="S301" s="77">
        <f t="shared" ref="S301:U302" si="234">N301</f>
        <v>0.61635487296789471</v>
      </c>
      <c r="T301" s="77">
        <f t="shared" si="234"/>
        <v>0.61159902889893658</v>
      </c>
      <c r="U301" s="77">
        <f t="shared" si="234"/>
        <v>0.61327458861332118</v>
      </c>
      <c r="W301" s="270">
        <f>W77/W72</f>
        <v>0.61557151527738951</v>
      </c>
      <c r="X301" s="77">
        <f>W301</f>
        <v>0.61557151527738951</v>
      </c>
      <c r="Y301" s="77">
        <f>X301</f>
        <v>0.61557151527738951</v>
      </c>
      <c r="Z301" s="77">
        <f t="shared" ref="Z301:AA301" si="235">Y301</f>
        <v>0.61557151527738951</v>
      </c>
      <c r="AA301" s="77">
        <f t="shared" si="235"/>
        <v>0.61557151527738951</v>
      </c>
    </row>
    <row r="302" spans="1:27" x14ac:dyDescent="0.25">
      <c r="A302" s="31" t="s">
        <v>232</v>
      </c>
      <c r="D302" s="29">
        <f t="shared" ref="D302:O302" si="236">D78/D73</f>
        <v>0.49659558127991166</v>
      </c>
      <c r="E302" s="29">
        <f t="shared" si="236"/>
        <v>0.50493356953055801</v>
      </c>
      <c r="F302" s="29">
        <f t="shared" si="236"/>
        <v>0.50254080757911845</v>
      </c>
      <c r="G302" s="29">
        <f t="shared" si="236"/>
        <v>0.51053888194586938</v>
      </c>
      <c r="H302" s="29">
        <f t="shared" si="236"/>
        <v>0.51945563333463685</v>
      </c>
      <c r="I302" s="29">
        <f t="shared" si="236"/>
        <v>0.50874016039025827</v>
      </c>
      <c r="J302" s="145">
        <f t="shared" si="236"/>
        <v>0.51613028230416003</v>
      </c>
      <c r="K302" s="29">
        <f t="shared" si="236"/>
        <v>0.53496788113568383</v>
      </c>
      <c r="L302" s="29">
        <f t="shared" si="236"/>
        <v>0.49767704598641971</v>
      </c>
      <c r="M302" s="29">
        <f t="shared" si="236"/>
        <v>0.51612474301670264</v>
      </c>
      <c r="N302" s="29">
        <f t="shared" si="236"/>
        <v>0.48930642886681019</v>
      </c>
      <c r="O302" s="29">
        <f t="shared" si="236"/>
        <v>0.50276899161206057</v>
      </c>
      <c r="P302" s="29">
        <f t="shared" ref="P302" si="237">P78/P73</f>
        <v>0.50671458507018763</v>
      </c>
      <c r="R302" s="77">
        <f>M302</f>
        <v>0.51612474301670264</v>
      </c>
      <c r="S302" s="77">
        <f t="shared" si="234"/>
        <v>0.48930642886681019</v>
      </c>
      <c r="T302" s="77">
        <f t="shared" si="234"/>
        <v>0.50276899161206057</v>
      </c>
      <c r="U302" s="77">
        <f t="shared" si="234"/>
        <v>0.50671458507018763</v>
      </c>
      <c r="W302" s="270">
        <f>W78/W73</f>
        <v>0.50365537855252684</v>
      </c>
      <c r="X302" s="77">
        <f>W302</f>
        <v>0.50365537855252684</v>
      </c>
      <c r="Y302" s="77">
        <f>X302</f>
        <v>0.50365537855252684</v>
      </c>
      <c r="Z302" s="77">
        <f t="shared" ref="Z302:AA302" si="238">Y302</f>
        <v>0.50365537855252684</v>
      </c>
      <c r="AA302" s="77">
        <f t="shared" si="238"/>
        <v>0.50365537855252684</v>
      </c>
    </row>
    <row r="303" spans="1:27" x14ac:dyDescent="0.25">
      <c r="A303" s="31" t="s">
        <v>243</v>
      </c>
      <c r="D303" s="83"/>
      <c r="E303" s="83">
        <f t="shared" ref="E303:O303" si="239">E79*1000000/(E210+E213)</f>
        <v>6541.5951700031774</v>
      </c>
      <c r="F303" s="83">
        <f t="shared" si="239"/>
        <v>6503.1374055576898</v>
      </c>
      <c r="G303" s="83">
        <f t="shared" si="239"/>
        <v>6343.9860546194077</v>
      </c>
      <c r="H303" s="83">
        <f t="shared" si="239"/>
        <v>7107.6483573561873</v>
      </c>
      <c r="I303" s="83">
        <f t="shared" si="239"/>
        <v>6674.8249460113866</v>
      </c>
      <c r="J303" s="89">
        <f t="shared" si="239"/>
        <v>7101.4933262851855</v>
      </c>
      <c r="K303" s="83">
        <f t="shared" si="239"/>
        <v>6407.8033137359698</v>
      </c>
      <c r="L303" s="83">
        <f t="shared" si="239"/>
        <v>6852.8103517994341</v>
      </c>
      <c r="M303" s="83">
        <f t="shared" si="239"/>
        <v>6879.4537218578862</v>
      </c>
      <c r="N303" s="83">
        <f t="shared" si="239"/>
        <v>6829.649778986739</v>
      </c>
      <c r="O303" s="83">
        <f t="shared" si="239"/>
        <v>7002.7408524050979</v>
      </c>
      <c r="P303" s="83">
        <f t="shared" ref="P303" si="240">P79*1000000/(P210+P213)</f>
        <v>7126.8713349430836</v>
      </c>
      <c r="R303" s="83">
        <f>M303*(1+R304)</f>
        <v>6879.4537218578862</v>
      </c>
      <c r="S303" s="83">
        <f t="shared" ref="S303:U303" si="241">N303*(1+S304)</f>
        <v>6829.649778986739</v>
      </c>
      <c r="T303" s="83">
        <f t="shared" si="241"/>
        <v>7002.7408524050979</v>
      </c>
      <c r="U303" s="83">
        <f t="shared" si="241"/>
        <v>7126.8713349430836</v>
      </c>
      <c r="W303" s="84">
        <f>SUM(R303:U303)</f>
        <v>27838.715688192806</v>
      </c>
      <c r="X303" s="83">
        <f>W303*(1+X304)</f>
        <v>27838.715688192806</v>
      </c>
      <c r="Y303" s="83">
        <f t="shared" ref="Y303:AA303" si="242">X303*(1+Y304)</f>
        <v>27838.715688192806</v>
      </c>
      <c r="Z303" s="83">
        <f t="shared" si="242"/>
        <v>27838.715688192806</v>
      </c>
      <c r="AA303" s="83">
        <f t="shared" si="242"/>
        <v>27838.715688192806</v>
      </c>
    </row>
    <row r="304" spans="1:27" x14ac:dyDescent="0.25">
      <c r="A304" s="76" t="s">
        <v>219</v>
      </c>
      <c r="I304" s="29">
        <f t="shared" ref="I304:K304" si="243">I303/E303-1</f>
        <v>2.0366557780759909E-2</v>
      </c>
      <c r="J304" s="145">
        <f t="shared" si="243"/>
        <v>9.2010345685781036E-2</v>
      </c>
      <c r="K304" s="29">
        <f t="shared" si="243"/>
        <v>1.0059489186627912E-2</v>
      </c>
      <c r="L304" s="29">
        <f>L303/H303-1</f>
        <v>-3.5854053653766371E-2</v>
      </c>
      <c r="M304" s="29">
        <f>M303/I303-1</f>
        <v>3.0656800365794989E-2</v>
      </c>
      <c r="N304" s="29">
        <f>N303/J303-1</f>
        <v>-3.8279772268778434E-2</v>
      </c>
      <c r="O304" s="29">
        <f>O303/K303-1</f>
        <v>9.2845786541824848E-2</v>
      </c>
      <c r="P304" s="29">
        <f>P303/L303-1</f>
        <v>3.9992494914394605E-2</v>
      </c>
      <c r="R304" s="77">
        <v>0</v>
      </c>
      <c r="S304" s="77">
        <v>0</v>
      </c>
      <c r="T304" s="77">
        <v>0</v>
      </c>
      <c r="U304" s="77">
        <v>0</v>
      </c>
      <c r="W304" s="82"/>
      <c r="X304" s="77">
        <v>0</v>
      </c>
      <c r="Y304" s="77">
        <v>0</v>
      </c>
      <c r="Z304" s="77">
        <v>0</v>
      </c>
      <c r="AA304" s="77">
        <v>0</v>
      </c>
    </row>
    <row r="305" spans="1:27" x14ac:dyDescent="0.25">
      <c r="A305" s="31" t="s">
        <v>244</v>
      </c>
      <c r="E305" s="83">
        <f t="shared" ref="E305:O305" si="244">E80*1000000/(E210+E213)</f>
        <v>7734.3501747696218</v>
      </c>
      <c r="F305" s="83">
        <f t="shared" si="244"/>
        <v>6999.7438852605965</v>
      </c>
      <c r="G305" s="83">
        <f t="shared" si="244"/>
        <v>7099.2317128284585</v>
      </c>
      <c r="H305" s="83">
        <f t="shared" si="244"/>
        <v>6267.3678743020391</v>
      </c>
      <c r="I305" s="83">
        <f t="shared" si="244"/>
        <v>7172.0437144165953</v>
      </c>
      <c r="J305" s="89">
        <f t="shared" si="244"/>
        <v>7392.7580282806921</v>
      </c>
      <c r="K305" s="83">
        <f t="shared" si="244"/>
        <v>6877.7391769107426</v>
      </c>
      <c r="L305" s="83">
        <f t="shared" si="244"/>
        <v>5884.6205688098125</v>
      </c>
      <c r="M305" s="83">
        <f t="shared" si="244"/>
        <v>5725.7791900480024</v>
      </c>
      <c r="N305" s="83">
        <f t="shared" si="244"/>
        <v>5778.9867392043525</v>
      </c>
      <c r="O305" s="83">
        <f t="shared" si="244"/>
        <v>6171.7144031793887</v>
      </c>
      <c r="P305" s="83">
        <f t="shared" ref="P305" si="245">P80*1000000/(P210+P213)</f>
        <v>6234.5636426353913</v>
      </c>
      <c r="R305" s="83">
        <f>M305*(1+R306)</f>
        <v>5725.7791900480024</v>
      </c>
      <c r="S305" s="83">
        <f t="shared" ref="S305:U305" si="246">N305*(1+S306)</f>
        <v>5778.9867392043525</v>
      </c>
      <c r="T305" s="83">
        <f t="shared" si="246"/>
        <v>6171.7144031793887</v>
      </c>
      <c r="U305" s="83">
        <f t="shared" si="246"/>
        <v>6234.5636426353913</v>
      </c>
      <c r="W305" s="84">
        <f>SUM(R305:U305)</f>
        <v>23911.043975067136</v>
      </c>
      <c r="X305" s="83">
        <f>W305*(1+X306)</f>
        <v>23911.043975067136</v>
      </c>
      <c r="Y305" s="83">
        <f t="shared" ref="Y305" si="247">X305*(1+Y306)</f>
        <v>23911.043975067136</v>
      </c>
      <c r="Z305" s="83">
        <f t="shared" ref="Z305" si="248">Y305*(1+Z306)</f>
        <v>23911.043975067136</v>
      </c>
      <c r="AA305" s="83">
        <f t="shared" ref="AA305" si="249">Z305*(1+AA306)</f>
        <v>23911.043975067136</v>
      </c>
    </row>
    <row r="306" spans="1:27" x14ac:dyDescent="0.25">
      <c r="A306" s="76" t="s">
        <v>219</v>
      </c>
      <c r="I306" s="29">
        <f t="shared" ref="I306" si="250">I305/E305-1</f>
        <v>-7.2702482774485433E-2</v>
      </c>
      <c r="J306" s="145">
        <f t="shared" ref="J306" si="251">J305/F305-1</f>
        <v>5.6146931868131356E-2</v>
      </c>
      <c r="K306" s="29">
        <f t="shared" ref="K306" si="252">K305/G305-1</f>
        <v>-3.1199507901323198E-2</v>
      </c>
      <c r="L306" s="29">
        <f>L305/H305-1</f>
        <v>-6.106986428251604E-2</v>
      </c>
      <c r="M306" s="29">
        <f>M305/I305-1</f>
        <v>-0.20165305482751628</v>
      </c>
      <c r="N306" s="29">
        <f>N305/J305-1</f>
        <v>-0.2182908304184884</v>
      </c>
      <c r="O306" s="29">
        <f>O305/K305-1</f>
        <v>-0.10265361270191076</v>
      </c>
      <c r="P306" s="29">
        <f>P305/L305-1</f>
        <v>5.9467398064775523E-2</v>
      </c>
      <c r="R306" s="77">
        <v>0</v>
      </c>
      <c r="S306" s="77">
        <f>R306</f>
        <v>0</v>
      </c>
      <c r="T306" s="77">
        <f t="shared" ref="T306:U306" si="253">S306</f>
        <v>0</v>
      </c>
      <c r="U306" s="77">
        <f t="shared" si="253"/>
        <v>0</v>
      </c>
      <c r="W306" s="82"/>
      <c r="X306" s="77">
        <v>0</v>
      </c>
      <c r="Y306" s="77">
        <v>0</v>
      </c>
      <c r="Z306" s="77">
        <v>0</v>
      </c>
      <c r="AA306" s="77">
        <v>0</v>
      </c>
    </row>
    <row r="307" spans="1:27" x14ac:dyDescent="0.25">
      <c r="A307" s="31" t="s">
        <v>245</v>
      </c>
      <c r="E307" s="83">
        <f t="shared" ref="E307:O307" si="254">E81*1000000/(E210+E213)</f>
        <v>10581.379091197967</v>
      </c>
      <c r="F307" s="83">
        <f t="shared" si="254"/>
        <v>10522.474068382635</v>
      </c>
      <c r="G307" s="83">
        <f t="shared" si="254"/>
        <v>10868.874685260507</v>
      </c>
      <c r="H307" s="83">
        <f t="shared" si="254"/>
        <v>10582.911310219451</v>
      </c>
      <c r="I307" s="83">
        <f t="shared" si="254"/>
        <v>10543.158170276814</v>
      </c>
      <c r="J307" s="89">
        <f t="shared" si="254"/>
        <v>10672.789744945158</v>
      </c>
      <c r="K307" s="83">
        <f t="shared" si="254"/>
        <v>10943.479422768572</v>
      </c>
      <c r="L307" s="83">
        <f t="shared" si="254"/>
        <v>10649.683245720447</v>
      </c>
      <c r="M307" s="83">
        <f t="shared" si="254"/>
        <v>10704.347238185383</v>
      </c>
      <c r="N307" s="83">
        <f t="shared" si="254"/>
        <v>10964.161849710983</v>
      </c>
      <c r="O307" s="83">
        <f t="shared" si="254"/>
        <v>11417.979991777444</v>
      </c>
      <c r="P307" s="83">
        <f t="shared" ref="P307" si="255">P81*1000000/(P210+P213)</f>
        <v>10689.065194894791</v>
      </c>
      <c r="R307" s="83">
        <f>M307*(1+R308)</f>
        <v>10704.347238185383</v>
      </c>
      <c r="S307" s="83">
        <f t="shared" ref="S307:U307" si="256">N307*(1+S308)</f>
        <v>10964.161849710983</v>
      </c>
      <c r="T307" s="83">
        <f t="shared" si="256"/>
        <v>11417.979991777444</v>
      </c>
      <c r="U307" s="83">
        <f t="shared" si="256"/>
        <v>10689.065194894791</v>
      </c>
      <c r="W307" s="84">
        <f>SUM(R307:U307)</f>
        <v>43775.554274568603</v>
      </c>
      <c r="X307" s="83">
        <f>W307*(1+X308)</f>
        <v>43775.554274568603</v>
      </c>
      <c r="Y307" s="83">
        <f t="shared" ref="Y307" si="257">X307*(1+Y308)</f>
        <v>43775.554274568603</v>
      </c>
      <c r="Z307" s="83">
        <f t="shared" ref="Z307" si="258">Y307*(1+Z308)</f>
        <v>43775.554274568603</v>
      </c>
      <c r="AA307" s="83">
        <f t="shared" ref="AA307" si="259">Z307*(1+AA308)</f>
        <v>43775.554274568603</v>
      </c>
    </row>
    <row r="308" spans="1:27" x14ac:dyDescent="0.25">
      <c r="A308" s="76" t="s">
        <v>219</v>
      </c>
      <c r="I308" s="29">
        <f t="shared" ref="I308" si="260">I307/E307-1</f>
        <v>-3.6120925818587946E-3</v>
      </c>
      <c r="J308" s="145">
        <f t="shared" ref="J308" si="261">J307/F307-1</f>
        <v>1.4285202851122447E-2</v>
      </c>
      <c r="K308" s="29">
        <f t="shared" ref="K308" si="262">K307/G307-1</f>
        <v>6.86407191806504E-3</v>
      </c>
      <c r="L308" s="29">
        <f>L307/H307-1</f>
        <v>6.3094108552641526E-3</v>
      </c>
      <c r="M308" s="29">
        <f>M307/I307-1</f>
        <v>1.5288499451994397E-2</v>
      </c>
      <c r="N308" s="29">
        <f>N307/J307-1</f>
        <v>2.7300463302373679E-2</v>
      </c>
      <c r="O308" s="29">
        <f>O307/K307-1</f>
        <v>4.335920511913649E-2</v>
      </c>
      <c r="P308" s="29">
        <f>P307/L307-1</f>
        <v>3.6979455882097945E-3</v>
      </c>
      <c r="R308" s="77">
        <v>0</v>
      </c>
      <c r="S308" s="77">
        <v>0</v>
      </c>
      <c r="T308" s="77">
        <v>0</v>
      </c>
      <c r="U308" s="77">
        <v>0</v>
      </c>
      <c r="W308" s="82"/>
      <c r="X308" s="77">
        <v>0</v>
      </c>
      <c r="Y308" s="77">
        <v>0</v>
      </c>
      <c r="Z308" s="77">
        <v>0</v>
      </c>
      <c r="AA308" s="77">
        <v>0</v>
      </c>
    </row>
    <row r="309" spans="1:27" x14ac:dyDescent="0.25">
      <c r="A309" s="31" t="s">
        <v>246</v>
      </c>
      <c r="E309" s="83">
        <f t="shared" ref="E309:O309" si="263">E82*1000000/(E210+E213)</f>
        <v>2810.0413091833493</v>
      </c>
      <c r="F309" s="83">
        <f t="shared" si="263"/>
        <v>2862.4663849404533</v>
      </c>
      <c r="G309" s="83">
        <f t="shared" si="263"/>
        <v>2874.5561366130801</v>
      </c>
      <c r="H309" s="83">
        <f t="shared" si="263"/>
        <v>2689.1312816517334</v>
      </c>
      <c r="I309" s="83">
        <f t="shared" si="263"/>
        <v>2865.1266278384924</v>
      </c>
      <c r="J309" s="89">
        <f t="shared" si="263"/>
        <v>2905.7750759878418</v>
      </c>
      <c r="K309" s="83">
        <f t="shared" si="263"/>
        <v>3380.8123997862108</v>
      </c>
      <c r="L309" s="83">
        <f t="shared" si="263"/>
        <v>3111.7401267017117</v>
      </c>
      <c r="M309" s="83">
        <f t="shared" si="263"/>
        <v>3331.891014806301</v>
      </c>
      <c r="N309" s="83">
        <f t="shared" si="263"/>
        <v>3854.8792927575655</v>
      </c>
      <c r="O309" s="83">
        <f t="shared" si="263"/>
        <v>3140.7427710017814</v>
      </c>
      <c r="P309" s="83">
        <f t="shared" ref="P309" si="264">P82*1000000/(P210+P213)</f>
        <v>3061.469472231804</v>
      </c>
      <c r="R309" s="83">
        <f>M309*(1+R310)</f>
        <v>3331.891014806301</v>
      </c>
      <c r="S309" s="83">
        <f t="shared" ref="S309:U309" si="265">N309*(1+S310)</f>
        <v>3854.8792927575655</v>
      </c>
      <c r="T309" s="83">
        <f t="shared" si="265"/>
        <v>3140.7427710017814</v>
      </c>
      <c r="U309" s="83">
        <f t="shared" si="265"/>
        <v>3061.469472231804</v>
      </c>
      <c r="W309" s="84">
        <f>SUM(R309:U309)</f>
        <v>13388.982550797451</v>
      </c>
      <c r="X309" s="83">
        <f>W309*(1+X310)</f>
        <v>13388.982550797451</v>
      </c>
      <c r="Y309" s="83">
        <f t="shared" ref="Y309" si="266">X309*(1+Y310)</f>
        <v>13388.982550797451</v>
      </c>
      <c r="Z309" s="83">
        <f t="shared" ref="Z309" si="267">Y309*(1+Z310)</f>
        <v>13388.982550797451</v>
      </c>
      <c r="AA309" s="83">
        <f t="shared" ref="AA309" si="268">Z309*(1+AA310)</f>
        <v>13388.982550797451</v>
      </c>
    </row>
    <row r="310" spans="1:27" x14ac:dyDescent="0.25">
      <c r="A310" s="76" t="s">
        <v>219</v>
      </c>
      <c r="I310" s="29">
        <f t="shared" ref="I310" si="269">I309/E309-1</f>
        <v>1.9603028067637807E-2</v>
      </c>
      <c r="J310" s="145">
        <f t="shared" ref="J310" si="270">J309/F309-1</f>
        <v>1.5129851402006844E-2</v>
      </c>
      <c r="K310" s="29">
        <f t="shared" ref="K310" si="271">K309/G309-1</f>
        <v>0.17611632513450326</v>
      </c>
      <c r="L310" s="29">
        <f>L309/H309-1</f>
        <v>0.1571544118851651</v>
      </c>
      <c r="M310" s="29">
        <f>M309/I309-1</f>
        <v>0.16291230636460385</v>
      </c>
      <c r="N310" s="29">
        <f>N309/J309-1</f>
        <v>0.32662686957870202</v>
      </c>
      <c r="O310" s="29">
        <f>O309/K309-1</f>
        <v>-7.1009449917898593E-2</v>
      </c>
      <c r="P310" s="29">
        <f>P309/L309-1</f>
        <v>-1.6155158343248877E-2</v>
      </c>
      <c r="R310" s="77">
        <v>0</v>
      </c>
      <c r="S310" s="77">
        <f>R310</f>
        <v>0</v>
      </c>
      <c r="T310" s="77">
        <f t="shared" ref="T310:U310" si="272">S310</f>
        <v>0</v>
      </c>
      <c r="U310" s="77">
        <f t="shared" si="272"/>
        <v>0</v>
      </c>
      <c r="W310" s="82"/>
      <c r="X310" s="77">
        <v>0</v>
      </c>
      <c r="Y310" s="77">
        <v>0</v>
      </c>
      <c r="Z310" s="77">
        <v>0</v>
      </c>
      <c r="AA310" s="77">
        <v>0</v>
      </c>
    </row>
    <row r="311" spans="1:27" x14ac:dyDescent="0.25">
      <c r="A311" s="123" t="s">
        <v>322</v>
      </c>
      <c r="I311" s="29">
        <f t="shared" ref="I311:O311" si="273">I91/I89</f>
        <v>-0.40628683693518231</v>
      </c>
      <c r="J311" s="145">
        <f t="shared" si="273"/>
        <v>-0.68372093023256308</v>
      </c>
      <c r="K311" s="29">
        <f t="shared" si="273"/>
        <v>-0.24780701754386014</v>
      </c>
      <c r="L311" s="29">
        <f t="shared" si="273"/>
        <v>1.9791666666658529</v>
      </c>
      <c r="M311" s="29">
        <f t="shared" si="273"/>
        <v>-0.62313706327876583</v>
      </c>
      <c r="N311" s="29">
        <f t="shared" si="273"/>
        <v>-4.5659983775639637E-2</v>
      </c>
      <c r="O311" s="29">
        <f t="shared" si="273"/>
        <v>-0.54928198433421194</v>
      </c>
      <c r="P311" s="29">
        <f t="shared" ref="P311" si="274">P91/P89</f>
        <v>1.464509394572058</v>
      </c>
      <c r="R311" s="77">
        <v>0.35</v>
      </c>
      <c r="S311" s="77">
        <v>0.35</v>
      </c>
      <c r="T311" s="77">
        <v>0.35</v>
      </c>
      <c r="U311" s="77">
        <v>0.35</v>
      </c>
      <c r="W311" s="77">
        <v>0.35</v>
      </c>
      <c r="X311" s="77">
        <v>0.35</v>
      </c>
      <c r="Y311" s="77">
        <v>0.35</v>
      </c>
      <c r="Z311" s="77">
        <v>0.35</v>
      </c>
      <c r="AA311" s="77">
        <v>0.35</v>
      </c>
    </row>
    <row r="312" spans="1:27" x14ac:dyDescent="0.25">
      <c r="A312" s="117" t="s">
        <v>323</v>
      </c>
      <c r="E312" s="29">
        <f t="shared" ref="E312:P312" si="275">E97/D97-1</f>
        <v>1.9770949884303501E-3</v>
      </c>
      <c r="F312" s="29">
        <f t="shared" si="275"/>
        <v>-0.16609906894485293</v>
      </c>
      <c r="G312" s="29">
        <f t="shared" si="275"/>
        <v>0.2017247121097927</v>
      </c>
      <c r="H312" s="29">
        <f t="shared" si="275"/>
        <v>-0.16353081882092113</v>
      </c>
      <c r="I312" s="29">
        <f t="shared" si="275"/>
        <v>-7.968613775065414E-3</v>
      </c>
      <c r="J312" s="145">
        <f t="shared" si="275"/>
        <v>-6.9077039354578096E-3</v>
      </c>
      <c r="K312" s="29">
        <f t="shared" si="275"/>
        <v>8.8495575221392286E-5</v>
      </c>
      <c r="L312" s="29">
        <f t="shared" si="275"/>
        <v>3.5395097778945228E-4</v>
      </c>
      <c r="M312" s="29">
        <f t="shared" si="275"/>
        <v>-1.5568332596196388E-3</v>
      </c>
      <c r="N312" s="29">
        <f t="shared" si="275"/>
        <v>6.3787940535475762E-4</v>
      </c>
      <c r="O312" s="29">
        <f t="shared" si="275"/>
        <v>-3.8779593788181854E-3</v>
      </c>
      <c r="P312" s="29">
        <f t="shared" si="275"/>
        <v>-9.0837984854409415E-3</v>
      </c>
      <c r="R312" s="77">
        <v>0</v>
      </c>
      <c r="S312" s="77">
        <v>0</v>
      </c>
      <c r="T312" s="77">
        <v>0</v>
      </c>
      <c r="U312" s="77">
        <v>0</v>
      </c>
      <c r="X312" s="77">
        <v>0.01</v>
      </c>
      <c r="Y312" s="77">
        <v>0.01</v>
      </c>
      <c r="Z312" s="77">
        <v>0.01</v>
      </c>
      <c r="AA312" s="77">
        <v>0.01</v>
      </c>
    </row>
    <row r="313" spans="1:27" collapsed="1" x14ac:dyDescent="0.25"/>
    <row r="314" spans="1:27" x14ac:dyDescent="0.25">
      <c r="A314" s="39" t="s">
        <v>8751</v>
      </c>
      <c r="B314" s="40"/>
      <c r="C314" s="40"/>
      <c r="D314" s="40"/>
      <c r="E314" s="40"/>
      <c r="F314" s="40"/>
      <c r="G314" s="40"/>
      <c r="H314" s="40"/>
      <c r="I314" s="40"/>
      <c r="J314" s="40"/>
      <c r="K314" s="40"/>
      <c r="L314" s="40"/>
      <c r="M314" s="40"/>
      <c r="N314" s="40"/>
      <c r="O314" s="40"/>
      <c r="P314" s="40"/>
      <c r="Q314" s="41"/>
      <c r="R314" s="41"/>
      <c r="S314" s="41"/>
      <c r="T314" s="41"/>
      <c r="U314" s="41"/>
      <c r="V314" s="41"/>
      <c r="W314" s="41"/>
      <c r="X314" s="41"/>
      <c r="Y314" s="41"/>
      <c r="Z314" s="41"/>
      <c r="AA314" s="42"/>
    </row>
    <row r="316" spans="1:27" x14ac:dyDescent="0.25">
      <c r="A316" s="361" t="s">
        <v>8695</v>
      </c>
      <c r="O316" s="77"/>
      <c r="P316" s="77">
        <v>1.4999999999999999E-2</v>
      </c>
    </row>
    <row r="317" spans="1:27" x14ac:dyDescent="0.25">
      <c r="A317" s="59" t="s">
        <v>8696</v>
      </c>
      <c r="O317" s="95"/>
      <c r="P317" s="95">
        <v>1.65</v>
      </c>
    </row>
    <row r="318" spans="1:27" x14ac:dyDescent="0.25">
      <c r="A318" s="82"/>
    </row>
    <row r="319" spans="1:27" x14ac:dyDescent="0.25">
      <c r="A319" s="82" t="s">
        <v>253</v>
      </c>
      <c r="H319" s="55">
        <f t="shared" ref="H319:P319" si="276">(AVERAGE(G110:H110)/SUM(H72:H73))*(365/4)</f>
        <v>5.6493267097034501</v>
      </c>
      <c r="I319" s="55">
        <f t="shared" si="276"/>
        <v>5.239612998014187</v>
      </c>
      <c r="J319" s="140">
        <f t="shared" si="276"/>
        <v>5.2803391296624156</v>
      </c>
      <c r="K319" s="55">
        <f t="shared" si="276"/>
        <v>6.1014595409793406</v>
      </c>
      <c r="L319" s="55">
        <f t="shared" si="276"/>
        <v>5.3081717451523547</v>
      </c>
      <c r="M319" s="55">
        <f t="shared" si="276"/>
        <v>4.4619660234387259</v>
      </c>
      <c r="N319" s="55">
        <f t="shared" si="276"/>
        <v>4.8335676941710233</v>
      </c>
      <c r="O319" s="55">
        <f t="shared" si="276"/>
        <v>4.8363542151347243</v>
      </c>
      <c r="P319" s="55">
        <f t="shared" si="276"/>
        <v>4.8182995629586509</v>
      </c>
      <c r="R319" s="276">
        <f>M319</f>
        <v>4.4619660234387259</v>
      </c>
      <c r="S319" s="276">
        <f t="shared" ref="S319:U319" si="277">N319</f>
        <v>4.8335676941710233</v>
      </c>
      <c r="T319" s="276">
        <f t="shared" si="277"/>
        <v>4.8363542151347243</v>
      </c>
      <c r="U319" s="276">
        <f t="shared" si="277"/>
        <v>4.8182995629586509</v>
      </c>
      <c r="W319" s="273">
        <f>AVERAGE(R319:U319)</f>
        <v>4.7375468739257816</v>
      </c>
      <c r="X319" s="273">
        <f>W319</f>
        <v>4.7375468739257816</v>
      </c>
      <c r="Y319" s="273">
        <f>X319</f>
        <v>4.7375468739257816</v>
      </c>
      <c r="Z319" s="273">
        <f t="shared" ref="Z319:AA319" si="278">Y319</f>
        <v>4.7375468739257816</v>
      </c>
      <c r="AA319" s="273">
        <f t="shared" si="278"/>
        <v>4.7375468739257816</v>
      </c>
    </row>
    <row r="320" spans="1:27" x14ac:dyDescent="0.25">
      <c r="A320" s="82" t="s">
        <v>254</v>
      </c>
      <c r="G320" s="80">
        <f t="shared" ref="G320:P320" si="279">G111*1000000/G602</f>
        <v>18424.760424760425</v>
      </c>
      <c r="H320" s="80">
        <f t="shared" si="279"/>
        <v>20311.197916666668</v>
      </c>
      <c r="I320" s="80">
        <f t="shared" si="279"/>
        <v>20242.599657939743</v>
      </c>
      <c r="J320" s="146">
        <f t="shared" si="279"/>
        <v>19712.332404088676</v>
      </c>
      <c r="K320" s="80">
        <f t="shared" si="279"/>
        <v>18777.000672494956</v>
      </c>
      <c r="L320" s="80">
        <f t="shared" si="279"/>
        <v>20157.233553964608</v>
      </c>
      <c r="M320" s="80">
        <f t="shared" si="279"/>
        <v>19922.577152138601</v>
      </c>
      <c r="N320" s="80">
        <f t="shared" si="279"/>
        <v>19644.936449364493</v>
      </c>
      <c r="O320" s="80">
        <f t="shared" si="279"/>
        <v>18847.189776006595</v>
      </c>
      <c r="P320" s="80">
        <f t="shared" si="279"/>
        <v>19857.024106400666</v>
      </c>
      <c r="R320" s="363">
        <f>L320*(1+$P$316)^(1/4)</f>
        <v>20232.401670633255</v>
      </c>
      <c r="S320" s="87">
        <f>R320*(1+$P$316)^(1/4)</f>
        <v>20307.850095894268</v>
      </c>
      <c r="T320" s="87">
        <f>S320*(1+$P$316)^(1/4)</f>
        <v>20383.579875043317</v>
      </c>
      <c r="U320" s="87">
        <f>T320*(1+$P$316)^(1/4)</f>
        <v>20459.592057274076</v>
      </c>
      <c r="V320" s="88"/>
      <c r="W320" s="87">
        <f>U320</f>
        <v>20459.592057274076</v>
      </c>
      <c r="X320" s="87">
        <f>W320*(1+$P$316)</f>
        <v>20766.485938133184</v>
      </c>
      <c r="Y320" s="87">
        <f>X320*(1+$P$316)</f>
        <v>21077.983227205179</v>
      </c>
      <c r="Z320" s="87">
        <f>Y320*(1+$P$316)</f>
        <v>21394.152975613255</v>
      </c>
      <c r="AA320" s="87">
        <f>Z320*(1+$P$316)</f>
        <v>21715.065270247451</v>
      </c>
    </row>
    <row r="321" spans="1:27" s="83" customFormat="1" x14ac:dyDescent="0.25">
      <c r="A321" s="84"/>
      <c r="J321" s="89"/>
      <c r="R321" s="364"/>
      <c r="S321" s="90"/>
      <c r="T321" s="90"/>
      <c r="U321" s="90"/>
      <c r="W321" s="90"/>
      <c r="X321" s="90"/>
      <c r="Y321" s="90"/>
      <c r="Z321" s="90"/>
      <c r="AA321" s="90"/>
    </row>
    <row r="322" spans="1:27" s="83" customFormat="1" x14ac:dyDescent="0.25">
      <c r="A322" s="354" t="s">
        <v>255</v>
      </c>
      <c r="G322" s="53">
        <v>22.36</v>
      </c>
      <c r="H322" s="55"/>
      <c r="I322" s="55"/>
      <c r="J322" s="140"/>
      <c r="K322" s="55">
        <v>29.629000000000001</v>
      </c>
      <c r="L322" s="273">
        <f>K322-0.4</f>
        <v>29.229000000000003</v>
      </c>
      <c r="M322" s="273">
        <f>L322-0.3</f>
        <v>28.929000000000002</v>
      </c>
      <c r="N322" s="273">
        <f>M322-0.4</f>
        <v>28.529000000000003</v>
      </c>
      <c r="O322" s="55">
        <v>36.951000000000001</v>
      </c>
      <c r="P322" s="273">
        <f>O322</f>
        <v>36.951000000000001</v>
      </c>
      <c r="R322" s="276">
        <f>P322</f>
        <v>36.951000000000001</v>
      </c>
      <c r="S322" s="273">
        <f>R322</f>
        <v>36.951000000000001</v>
      </c>
      <c r="T322" s="273">
        <f t="shared" ref="T322:U322" si="280">S322</f>
        <v>36.951000000000001</v>
      </c>
      <c r="U322" s="273">
        <f t="shared" si="280"/>
        <v>36.951000000000001</v>
      </c>
      <c r="V322" s="55"/>
      <c r="W322" s="273">
        <f>U322</f>
        <v>36.951000000000001</v>
      </c>
      <c r="X322" s="273">
        <f>W322</f>
        <v>36.951000000000001</v>
      </c>
      <c r="Y322" s="273">
        <f t="shared" ref="Y322:AA322" si="281">X322</f>
        <v>36.951000000000001</v>
      </c>
      <c r="Z322" s="273">
        <f t="shared" si="281"/>
        <v>36.951000000000001</v>
      </c>
      <c r="AA322" s="273">
        <f t="shared" si="281"/>
        <v>36.951000000000001</v>
      </c>
    </row>
    <row r="323" spans="1:27" s="83" customFormat="1" x14ac:dyDescent="0.25">
      <c r="A323" s="354" t="s">
        <v>256</v>
      </c>
      <c r="G323" s="53">
        <v>4.5</v>
      </c>
      <c r="H323" s="55"/>
      <c r="I323" s="55"/>
      <c r="J323" s="140"/>
      <c r="K323" s="55">
        <v>27.5</v>
      </c>
      <c r="L323" s="273">
        <f>K323</f>
        <v>27.5</v>
      </c>
      <c r="M323" s="273">
        <f>L323</f>
        <v>27.5</v>
      </c>
      <c r="N323" s="273">
        <f>M323</f>
        <v>27.5</v>
      </c>
      <c r="O323" s="55">
        <v>27.5</v>
      </c>
      <c r="P323" s="273">
        <f>O323</f>
        <v>27.5</v>
      </c>
      <c r="R323" s="276">
        <f>P323</f>
        <v>27.5</v>
      </c>
      <c r="S323" s="273">
        <f>R323</f>
        <v>27.5</v>
      </c>
      <c r="T323" s="273">
        <f t="shared" ref="T323:U323" si="282">S323</f>
        <v>27.5</v>
      </c>
      <c r="U323" s="273">
        <f t="shared" si="282"/>
        <v>27.5</v>
      </c>
      <c r="V323" s="55"/>
      <c r="W323" s="273">
        <f t="shared" ref="W323:W324" si="283">U323</f>
        <v>27.5</v>
      </c>
      <c r="X323" s="273">
        <f t="shared" ref="X323:AA323" si="284">W323</f>
        <v>27.5</v>
      </c>
      <c r="Y323" s="273">
        <f t="shared" si="284"/>
        <v>27.5</v>
      </c>
      <c r="Z323" s="273">
        <f t="shared" si="284"/>
        <v>27.5</v>
      </c>
      <c r="AA323" s="273">
        <f t="shared" si="284"/>
        <v>27.5</v>
      </c>
    </row>
    <row r="324" spans="1:27" s="83" customFormat="1" x14ac:dyDescent="0.25">
      <c r="A324" s="354" t="s">
        <v>257</v>
      </c>
      <c r="G324" s="57">
        <v>29.042999999999999</v>
      </c>
      <c r="H324" s="62"/>
      <c r="I324" s="62"/>
      <c r="J324" s="143"/>
      <c r="K324" s="62">
        <v>0.76900000000000002</v>
      </c>
      <c r="L324" s="93">
        <f>K324</f>
        <v>0.76900000000000002</v>
      </c>
      <c r="M324" s="93">
        <f>L324</f>
        <v>0.76900000000000002</v>
      </c>
      <c r="N324" s="93">
        <f>M324-0.769</f>
        <v>0</v>
      </c>
      <c r="O324" s="62">
        <v>0.63500000000000001</v>
      </c>
      <c r="P324" s="93">
        <f>O324</f>
        <v>0.63500000000000001</v>
      </c>
      <c r="R324" s="352">
        <f>P324</f>
        <v>0.63500000000000001</v>
      </c>
      <c r="S324" s="93">
        <f>R324</f>
        <v>0.63500000000000001</v>
      </c>
      <c r="T324" s="93">
        <f t="shared" ref="T324:U324" si="285">S324</f>
        <v>0.63500000000000001</v>
      </c>
      <c r="U324" s="93">
        <f t="shared" si="285"/>
        <v>0.63500000000000001</v>
      </c>
      <c r="V324" s="55"/>
      <c r="W324" s="93">
        <f t="shared" si="283"/>
        <v>0.63500000000000001</v>
      </c>
      <c r="X324" s="93">
        <f t="shared" ref="X324:AA324" si="286">W324</f>
        <v>0.63500000000000001</v>
      </c>
      <c r="Y324" s="93">
        <f t="shared" si="286"/>
        <v>0.63500000000000001</v>
      </c>
      <c r="Z324" s="93">
        <f t="shared" si="286"/>
        <v>0.63500000000000001</v>
      </c>
      <c r="AA324" s="93">
        <f t="shared" si="286"/>
        <v>0.63500000000000001</v>
      </c>
    </row>
    <row r="325" spans="1:27" s="91" customFormat="1" x14ac:dyDescent="0.25">
      <c r="A325" s="362" t="s">
        <v>8699</v>
      </c>
      <c r="G325" s="63">
        <f>SUM(G322:G324)</f>
        <v>55.902999999999999</v>
      </c>
      <c r="H325" s="63">
        <f>H114</f>
        <v>24.233000000000001</v>
      </c>
      <c r="I325" s="63">
        <f>I114</f>
        <v>21.486000000000001</v>
      </c>
      <c r="J325" s="141">
        <f>J114</f>
        <v>47.939</v>
      </c>
      <c r="K325" s="63">
        <f>SUM(K322:K324)</f>
        <v>57.898000000000003</v>
      </c>
      <c r="L325" s="63">
        <f>L114</f>
        <v>57.51</v>
      </c>
      <c r="M325" s="63">
        <f>M114</f>
        <v>57.189</v>
      </c>
      <c r="N325" s="63">
        <f>N114</f>
        <v>55.972999999999999</v>
      </c>
      <c r="O325" s="63">
        <f>O114</f>
        <v>65.085999999999999</v>
      </c>
      <c r="P325" s="63">
        <f>P114</f>
        <v>69.989999999999995</v>
      </c>
      <c r="R325" s="312">
        <f>SUM(R322:R324)</f>
        <v>65.085999999999999</v>
      </c>
      <c r="S325" s="63">
        <f t="shared" ref="S325:W325" si="287">SUM(S322:S324)</f>
        <v>65.085999999999999</v>
      </c>
      <c r="T325" s="63">
        <f t="shared" si="287"/>
        <v>65.085999999999999</v>
      </c>
      <c r="U325" s="63">
        <f t="shared" si="287"/>
        <v>65.085999999999999</v>
      </c>
      <c r="V325" s="63"/>
      <c r="W325" s="63">
        <f t="shared" si="287"/>
        <v>65.085999999999999</v>
      </c>
      <c r="X325" s="63">
        <f t="shared" ref="X325" si="288">SUM(X322:X324)</f>
        <v>65.085999999999999</v>
      </c>
      <c r="Y325" s="63">
        <f t="shared" ref="Y325" si="289">SUM(Y322:Y324)</f>
        <v>65.085999999999999</v>
      </c>
      <c r="Z325" s="63">
        <f t="shared" ref="Z325" si="290">SUM(Z322:Z324)</f>
        <v>65.085999999999999</v>
      </c>
      <c r="AA325" s="63">
        <f t="shared" ref="AA325" si="291">SUM(AA322:AA324)</f>
        <v>65.085999999999999</v>
      </c>
    </row>
    <row r="326" spans="1:27" s="83" customFormat="1" x14ac:dyDescent="0.25">
      <c r="G326" s="55"/>
      <c r="H326" s="55"/>
      <c r="I326" s="55"/>
      <c r="J326" s="140"/>
      <c r="K326" s="55"/>
      <c r="L326" s="55"/>
      <c r="M326" s="55"/>
      <c r="N326" s="55"/>
      <c r="O326" s="55"/>
      <c r="P326" s="55"/>
      <c r="R326" s="273"/>
      <c r="S326" s="273"/>
      <c r="T326" s="273"/>
      <c r="U326" s="273"/>
      <c r="V326" s="55"/>
      <c r="W326" s="273"/>
      <c r="X326" s="273"/>
      <c r="Y326" s="273"/>
      <c r="Z326" s="273"/>
      <c r="AA326" s="273"/>
    </row>
    <row r="327" spans="1:27" x14ac:dyDescent="0.25">
      <c r="A327" s="365" t="s">
        <v>264</v>
      </c>
    </row>
    <row r="328" spans="1:27" x14ac:dyDescent="0.25">
      <c r="A328" s="64" t="s">
        <v>265</v>
      </c>
      <c r="G328" s="53">
        <v>3.8639999999999999</v>
      </c>
      <c r="H328" s="55"/>
      <c r="I328" s="55"/>
      <c r="J328" s="140"/>
      <c r="K328" s="53">
        <v>3.8639999999999999</v>
      </c>
      <c r="L328" s="55"/>
      <c r="M328" s="55"/>
      <c r="N328" s="55"/>
      <c r="O328" s="53">
        <v>3.8639999999999999</v>
      </c>
      <c r="P328" s="53"/>
      <c r="Q328" s="55"/>
      <c r="R328" s="55"/>
      <c r="S328" s="55"/>
      <c r="T328" s="55"/>
      <c r="U328" s="55"/>
      <c r="V328" s="55"/>
      <c r="W328" s="55"/>
      <c r="X328" s="55"/>
      <c r="Y328" s="55"/>
      <c r="Z328" s="55"/>
      <c r="AA328" s="55"/>
    </row>
    <row r="329" spans="1:27" x14ac:dyDescent="0.25">
      <c r="A329" s="64" t="s">
        <v>266</v>
      </c>
      <c r="G329" s="53">
        <v>48.017000000000003</v>
      </c>
      <c r="H329" s="55"/>
      <c r="I329" s="55"/>
      <c r="J329" s="140"/>
      <c r="K329" s="53">
        <v>47.841999999999999</v>
      </c>
      <c r="L329" s="55"/>
      <c r="M329" s="55"/>
      <c r="N329" s="55"/>
      <c r="O329" s="53">
        <v>48.107999999999997</v>
      </c>
      <c r="P329" s="53"/>
      <c r="Q329" s="55"/>
      <c r="R329" s="55"/>
      <c r="S329" s="55"/>
      <c r="T329" s="55"/>
      <c r="U329" s="55"/>
      <c r="V329" s="55"/>
      <c r="W329" s="55"/>
      <c r="X329" s="55"/>
      <c r="Y329" s="55"/>
      <c r="Z329" s="55"/>
      <c r="AA329" s="55"/>
    </row>
    <row r="330" spans="1:27" x14ac:dyDescent="0.25">
      <c r="A330" s="64" t="s">
        <v>267</v>
      </c>
      <c r="G330" s="53">
        <v>756.05100000000004</v>
      </c>
      <c r="H330" s="55"/>
      <c r="I330" s="55"/>
      <c r="J330" s="140"/>
      <c r="K330" s="53">
        <v>789.73699999999997</v>
      </c>
      <c r="L330" s="55"/>
      <c r="M330" s="55"/>
      <c r="N330" s="55"/>
      <c r="O330" s="53">
        <v>797.75699999999995</v>
      </c>
      <c r="P330" s="53"/>
      <c r="Q330" s="55"/>
      <c r="R330" s="55"/>
      <c r="S330" s="55"/>
      <c r="T330" s="55"/>
      <c r="U330" s="55"/>
      <c r="V330" s="55"/>
      <c r="W330" s="55"/>
      <c r="X330" s="55"/>
      <c r="Y330" s="55"/>
      <c r="Z330" s="55"/>
      <c r="AA330" s="55"/>
    </row>
    <row r="331" spans="1:27" x14ac:dyDescent="0.25">
      <c r="A331" s="64" t="s">
        <v>268</v>
      </c>
      <c r="G331" s="57">
        <v>106.264</v>
      </c>
      <c r="H331" s="62"/>
      <c r="I331" s="62"/>
      <c r="J331" s="143"/>
      <c r="K331" s="57">
        <v>118.093</v>
      </c>
      <c r="L331" s="62"/>
      <c r="M331" s="62"/>
      <c r="N331" s="62"/>
      <c r="O331" s="57">
        <v>122.82599999999999</v>
      </c>
      <c r="P331" s="57"/>
      <c r="Q331" s="55"/>
      <c r="R331" s="62"/>
      <c r="S331" s="62"/>
      <c r="T331" s="62"/>
      <c r="U331" s="62"/>
      <c r="V331" s="55"/>
      <c r="W331" s="62"/>
      <c r="X331" s="62"/>
      <c r="Y331" s="62"/>
      <c r="Z331" s="62"/>
      <c r="AA331" s="62"/>
    </row>
    <row r="332" spans="1:27" s="33" customFormat="1" x14ac:dyDescent="0.25">
      <c r="A332" s="365" t="s">
        <v>274</v>
      </c>
      <c r="G332" s="92">
        <f t="shared" ref="G332" si="292">SUM(G328:G331)</f>
        <v>914.19600000000003</v>
      </c>
      <c r="H332" s="92"/>
      <c r="I332" s="92"/>
      <c r="J332" s="92"/>
      <c r="K332" s="92">
        <f>SUM(K328:K331)</f>
        <v>959.53599999999994</v>
      </c>
      <c r="L332" s="63">
        <f>302.4+670.2</f>
        <v>972.6</v>
      </c>
      <c r="M332" s="63">
        <v>985.4</v>
      </c>
      <c r="N332" s="63">
        <f>N335-N334</f>
        <v>996.61271874999989</v>
      </c>
      <c r="O332" s="92">
        <f>SUM(O328:O331)</f>
        <v>972.55499999999995</v>
      </c>
      <c r="P332" s="92"/>
      <c r="Q332" s="63"/>
      <c r="R332" s="63">
        <f>O332+R347-R388</f>
        <v>986.1967226610733</v>
      </c>
      <c r="S332" s="63">
        <f>R332+S347-S388</f>
        <v>999.79605427003003</v>
      </c>
      <c r="T332" s="63">
        <f>S332+T347-T388</f>
        <v>1013.4460989960552</v>
      </c>
      <c r="U332" s="63">
        <f>T332+U347-U388</f>
        <v>1027.1470459528725</v>
      </c>
      <c r="V332" s="63"/>
      <c r="W332" s="63">
        <f>U332</f>
        <v>1027.1470459528725</v>
      </c>
      <c r="X332" s="63">
        <f>W332+X347-X388</f>
        <v>1082.4636631006042</v>
      </c>
      <c r="Y332" s="63">
        <f>X332+Y347-Y388</f>
        <v>1138.6100295055519</v>
      </c>
      <c r="Z332" s="63">
        <f>Y332+Z347-Z388</f>
        <v>1195.5985914065739</v>
      </c>
      <c r="AA332" s="63">
        <f>Z332+AA347-AA388</f>
        <v>1253.4419817361111</v>
      </c>
    </row>
    <row r="333" spans="1:27" x14ac:dyDescent="0.25">
      <c r="A333" s="64"/>
      <c r="G333" s="53"/>
      <c r="H333" s="55"/>
      <c r="I333" s="55"/>
      <c r="J333" s="140"/>
      <c r="K333" s="53"/>
      <c r="L333" s="55"/>
      <c r="M333" s="55"/>
      <c r="N333" s="55"/>
      <c r="O333" s="53"/>
      <c r="P333" s="53"/>
      <c r="Q333" s="55"/>
      <c r="R333" s="55"/>
      <c r="S333" s="55"/>
      <c r="T333" s="55"/>
      <c r="U333" s="55"/>
      <c r="V333" s="55"/>
      <c r="W333" s="55"/>
      <c r="X333" s="55"/>
      <c r="Y333" s="55"/>
      <c r="Z333" s="55"/>
      <c r="AA333" s="55"/>
    </row>
    <row r="334" spans="1:27" x14ac:dyDescent="0.25">
      <c r="A334" s="64" t="s">
        <v>269</v>
      </c>
      <c r="G334" s="57">
        <v>84.757000000000005</v>
      </c>
      <c r="H334" s="62"/>
      <c r="I334" s="62"/>
      <c r="J334" s="143"/>
      <c r="K334" s="57">
        <v>81.489000000000004</v>
      </c>
      <c r="L334" s="62">
        <f>K334</f>
        <v>81.489000000000004</v>
      </c>
      <c r="M334" s="62">
        <f>L334</f>
        <v>81.489000000000004</v>
      </c>
      <c r="N334" s="62">
        <f>M334</f>
        <v>81.489000000000004</v>
      </c>
      <c r="O334" s="57">
        <v>77.222999999999999</v>
      </c>
      <c r="P334" s="57"/>
      <c r="Q334" s="55"/>
      <c r="R334" s="93">
        <f>O334</f>
        <v>77.222999999999999</v>
      </c>
      <c r="S334" s="93">
        <f>R334</f>
        <v>77.222999999999999</v>
      </c>
      <c r="T334" s="93">
        <f t="shared" ref="T334:U334" si="293">S334</f>
        <v>77.222999999999999</v>
      </c>
      <c r="U334" s="93">
        <f t="shared" si="293"/>
        <v>77.222999999999999</v>
      </c>
      <c r="V334" s="55"/>
      <c r="W334" s="93">
        <f>U334</f>
        <v>77.222999999999999</v>
      </c>
      <c r="X334" s="93">
        <f>W334</f>
        <v>77.222999999999999</v>
      </c>
      <c r="Y334" s="93">
        <f t="shared" ref="Y334:AA334" si="294">X334</f>
        <v>77.222999999999999</v>
      </c>
      <c r="Z334" s="93">
        <f t="shared" si="294"/>
        <v>77.222999999999999</v>
      </c>
      <c r="AA334" s="93">
        <f t="shared" si="294"/>
        <v>77.222999999999999</v>
      </c>
    </row>
    <row r="335" spans="1:27" s="33" customFormat="1" x14ac:dyDescent="0.25">
      <c r="A335" s="365" t="s">
        <v>270</v>
      </c>
      <c r="G335" s="63">
        <f>SUM(G332:G334)</f>
        <v>998.95299999999997</v>
      </c>
      <c r="H335" s="63"/>
      <c r="I335" s="63"/>
      <c r="J335" s="141"/>
      <c r="K335" s="63">
        <f>SUM(K332:K334)</f>
        <v>1041.0249999999999</v>
      </c>
      <c r="L335" s="63">
        <f>SUM(L332:L334)</f>
        <v>1054.0889999999999</v>
      </c>
      <c r="M335" s="63">
        <f>SUM(M332:M334)</f>
        <v>1066.8889999999999</v>
      </c>
      <c r="N335" s="63">
        <f>N339-SUM(N337:N338)</f>
        <v>1078.1017187499999</v>
      </c>
      <c r="O335" s="63">
        <f>SUM(O332:O334)</f>
        <v>1049.778</v>
      </c>
      <c r="P335" s="63"/>
      <c r="Q335" s="63"/>
      <c r="R335" s="63">
        <f>SUM(R332:R334)</f>
        <v>1063.4197226610734</v>
      </c>
      <c r="S335" s="63">
        <f t="shared" ref="S335:W335" si="295">SUM(S332:S334)</f>
        <v>1077.01905427003</v>
      </c>
      <c r="T335" s="63">
        <f t="shared" si="295"/>
        <v>1090.6690989960553</v>
      </c>
      <c r="U335" s="63">
        <f t="shared" si="295"/>
        <v>1104.3700459528725</v>
      </c>
      <c r="V335" s="63"/>
      <c r="W335" s="63">
        <f t="shared" si="295"/>
        <v>1104.3700459528725</v>
      </c>
      <c r="X335" s="63">
        <f t="shared" ref="X335" si="296">SUM(X332:X334)</f>
        <v>1159.6866631006042</v>
      </c>
      <c r="Y335" s="63">
        <f t="shared" ref="Y335" si="297">SUM(Y332:Y334)</f>
        <v>1215.8330295055518</v>
      </c>
      <c r="Z335" s="63">
        <f t="shared" ref="Z335" si="298">SUM(Z332:Z334)</f>
        <v>1272.8215914065738</v>
      </c>
      <c r="AA335" s="63">
        <f t="shared" ref="AA335" si="299">SUM(AA332:AA334)</f>
        <v>1330.664981736111</v>
      </c>
    </row>
    <row r="336" spans="1:27" s="33" customFormat="1" x14ac:dyDescent="0.25">
      <c r="A336" s="365"/>
      <c r="G336" s="63"/>
      <c r="H336" s="63"/>
      <c r="I336" s="63"/>
      <c r="J336" s="141"/>
      <c r="K336" s="63"/>
      <c r="L336" s="63">
        <f>L337-K337</f>
        <v>-23.086000000000013</v>
      </c>
      <c r="M336" s="63"/>
      <c r="N336" s="63"/>
      <c r="O336" s="63"/>
      <c r="P336" s="63"/>
      <c r="Q336" s="63"/>
      <c r="R336" s="63"/>
      <c r="S336" s="63"/>
      <c r="T336" s="63"/>
      <c r="U336" s="63"/>
      <c r="V336" s="63"/>
      <c r="W336" s="63"/>
      <c r="X336" s="63"/>
      <c r="Y336" s="63"/>
      <c r="Z336" s="63"/>
      <c r="AA336" s="63"/>
    </row>
    <row r="337" spans="1:27" x14ac:dyDescent="0.25">
      <c r="A337" s="64" t="s">
        <v>271</v>
      </c>
      <c r="G337" s="53">
        <v>-635.471</v>
      </c>
      <c r="H337" s="55"/>
      <c r="I337" s="55"/>
      <c r="J337" s="140"/>
      <c r="K337" s="53">
        <v>-665.92399999999998</v>
      </c>
      <c r="L337" s="55">
        <f>K337-L82</f>
        <v>-689.01</v>
      </c>
      <c r="M337" s="55">
        <f>L337-M82</f>
        <v>-713.65099999999995</v>
      </c>
      <c r="N337" s="55">
        <f>M337-N82</f>
        <v>-741.99399999999991</v>
      </c>
      <c r="O337" s="53">
        <v>-718.95899999999995</v>
      </c>
      <c r="P337" s="53"/>
      <c r="Q337" s="55"/>
      <c r="R337" s="55">
        <f>O337-R82-(R338-O338)-(R435-N435)</f>
        <v>-743.27245545010464</v>
      </c>
      <c r="S337" s="55">
        <f>R337-S82-(S338-R338)-(S435-R435)</f>
        <v>-770.60663043522879</v>
      </c>
      <c r="T337" s="55">
        <f>S337-T82-(T338-S338)-(T435-S435)</f>
        <v>-792.78616800631971</v>
      </c>
      <c r="U337" s="55">
        <f>T337-U82-(U338-T338)-(U435-T435)</f>
        <v>-814.39351090688888</v>
      </c>
      <c r="V337" s="55"/>
      <c r="W337" s="55">
        <f>U337</f>
        <v>-814.39351090688888</v>
      </c>
      <c r="X337" s="55">
        <f>W337-X82-(X338-W338)-(X435-W435)</f>
        <v>-910.4260932085449</v>
      </c>
      <c r="Y337" s="55">
        <f>X337-Y82-(Y338-X338)-(Y435-X435)</f>
        <v>-1006.5216755102009</v>
      </c>
      <c r="Z337" s="55">
        <f>Y337-Z82-(Z338-Y338)-(Z435-Y435)</f>
        <v>-1102.6682578118568</v>
      </c>
      <c r="AA337" s="55">
        <f>Z337-AA82-(AA338-Z338)-(AA435-Z435)</f>
        <v>-1198.8268401135128</v>
      </c>
    </row>
    <row r="338" spans="1:27" x14ac:dyDescent="0.25">
      <c r="A338" s="64" t="s">
        <v>272</v>
      </c>
      <c r="G338" s="57">
        <v>-57.683</v>
      </c>
      <c r="H338" s="62"/>
      <c r="I338" s="62"/>
      <c r="J338" s="143"/>
      <c r="K338" s="57">
        <v>-61.640999999999998</v>
      </c>
      <c r="L338" s="62">
        <f>K338+(K338-G338)/4</f>
        <v>-62.630499999999998</v>
      </c>
      <c r="M338" s="62">
        <f>L338+(L338-K338)/4</f>
        <v>-62.877874999999996</v>
      </c>
      <c r="N338" s="62">
        <f>M338+(M338-L338)/4</f>
        <v>-62.939718749999997</v>
      </c>
      <c r="O338" s="57">
        <f>-64.281</f>
        <v>-64.281000000000006</v>
      </c>
      <c r="P338" s="57"/>
      <c r="Q338" s="55"/>
      <c r="R338" s="62">
        <f>N338+(N338-M338)</f>
        <v>-63.001562499999999</v>
      </c>
      <c r="S338" s="62">
        <f>R338+(R338-N338)</f>
        <v>-63.06340625</v>
      </c>
      <c r="T338" s="62">
        <f>S338+(S338-R338)</f>
        <v>-63.125250000000001</v>
      </c>
      <c r="U338" s="62">
        <f>T338+(T338-S338)</f>
        <v>-63.187093750000003</v>
      </c>
      <c r="V338" s="55"/>
      <c r="W338" s="62">
        <f>U338</f>
        <v>-63.187093750000003</v>
      </c>
      <c r="X338" s="62">
        <f>W338+(W338-O338)</f>
        <v>-62.093187499999999</v>
      </c>
      <c r="Y338" s="62">
        <f>X338+(X338-W338)</f>
        <v>-60.999281249999996</v>
      </c>
      <c r="Z338" s="62">
        <f t="shared" ref="Z338:AA338" si="300">Y338+(Y338-X338)</f>
        <v>-59.905374999999992</v>
      </c>
      <c r="AA338" s="62">
        <f t="shared" si="300"/>
        <v>-58.811468749999989</v>
      </c>
    </row>
    <row r="339" spans="1:27" s="33" customFormat="1" x14ac:dyDescent="0.25">
      <c r="A339" s="10" t="s">
        <v>273</v>
      </c>
      <c r="G339" s="11">
        <f>SUM(G335:G338)</f>
        <v>305.79899999999998</v>
      </c>
      <c r="H339" s="63"/>
      <c r="I339" s="63"/>
      <c r="J339" s="141"/>
      <c r="K339" s="11">
        <f>SUM(K335:K338)</f>
        <v>313.45999999999987</v>
      </c>
      <c r="L339" s="11">
        <f>SUM(L335:L338)</f>
        <v>279.36249999999995</v>
      </c>
      <c r="M339" s="11">
        <f>SUM(M335:M338)</f>
        <v>290.36012499999993</v>
      </c>
      <c r="N339" s="11">
        <f>N118</f>
        <v>273.16800000000001</v>
      </c>
      <c r="O339" s="11">
        <f>O118</f>
        <v>266.53800000000001</v>
      </c>
      <c r="P339" s="11">
        <f>P118</f>
        <v>253.072</v>
      </c>
      <c r="Q339" s="63"/>
      <c r="R339" s="11">
        <f>IF(SUM(R335:R338)&gt;0,SUM(R335:R338),0)</f>
        <v>257.14570471096874</v>
      </c>
      <c r="S339" s="11">
        <f t="shared" ref="S339:W339" si="301">IF(SUM(S335:S338)&gt;0,SUM(S335:S338),0)</f>
        <v>243.34901758480117</v>
      </c>
      <c r="T339" s="11">
        <f t="shared" si="301"/>
        <v>234.75768098973555</v>
      </c>
      <c r="U339" s="11">
        <f t="shared" si="301"/>
        <v>226.78944129598361</v>
      </c>
      <c r="V339" s="63"/>
      <c r="W339" s="11">
        <f t="shared" si="301"/>
        <v>226.78944129598361</v>
      </c>
      <c r="X339" s="11">
        <f t="shared" ref="X339" si="302">IF(SUM(X335:X338)&gt;0,SUM(X335:X338),0)</f>
        <v>187.16738239205927</v>
      </c>
      <c r="Y339" s="11">
        <f t="shared" ref="Y339" si="303">IF(SUM(Y335:Y338)&gt;0,SUM(Y335:Y338),0)</f>
        <v>148.31207274535095</v>
      </c>
      <c r="Z339" s="11">
        <f t="shared" ref="Z339" si="304">IF(SUM(Z335:Z338)&gt;0,SUM(Z335:Z338),0)</f>
        <v>110.24795859471698</v>
      </c>
      <c r="AA339" s="11">
        <f t="shared" ref="AA339" si="305">IF(SUM(AA335:AA338)&gt;0,SUM(AA335:AA338),0)</f>
        <v>73.026672872598198</v>
      </c>
    </row>
    <row r="340" spans="1:27" x14ac:dyDescent="0.25">
      <c r="A340" s="366" t="s">
        <v>326</v>
      </c>
      <c r="G340" s="55"/>
      <c r="H340" s="55"/>
      <c r="I340" s="55"/>
      <c r="J340" s="140"/>
      <c r="K340" s="55"/>
      <c r="L340" s="55">
        <f>SUM(L337:L338)-SUM(K337:K338)</f>
        <v>-24.075500000000034</v>
      </c>
      <c r="M340" s="55">
        <f>SUM(M337:M338)-SUM(L337:L338)</f>
        <v>-24.888374999999996</v>
      </c>
      <c r="N340" s="55">
        <f>SUM(N337:N338)-SUM(M337:M338)</f>
        <v>-28.404843749999941</v>
      </c>
      <c r="O340" s="55">
        <f>SUM(O337:O338)-SUM(N337:N338)</f>
        <v>21.693718749999903</v>
      </c>
      <c r="P340" s="55"/>
      <c r="Q340" s="55"/>
      <c r="R340" s="55">
        <f>R337-O337+(R338-O338)+(R435-N435)</f>
        <v>-24.214517950104689</v>
      </c>
      <c r="S340" s="55">
        <f>S337-R337+(S338-R338)+(S435-R435)</f>
        <v>-27.824518735124151</v>
      </c>
      <c r="T340" s="55">
        <f>T337-S337+(T338-S338)+(T435-S435)</f>
        <v>-22.669881321090919</v>
      </c>
      <c r="U340" s="55">
        <f>U337-T337+(U338-T338)+(U435-T435)</f>
        <v>-22.097686650569166</v>
      </c>
      <c r="V340" s="55"/>
      <c r="W340" s="55">
        <f>W337-N338+(W338-N337)+(W435-M435)</f>
        <v>-75.302885906889003</v>
      </c>
      <c r="X340" s="55">
        <f>X337-W337+(X338-W338)+(X435-W435)</f>
        <v>-96.64167605165602</v>
      </c>
      <c r="Y340" s="55">
        <f>Y337-X337+(Y338-X338)+(Y435-X435)</f>
        <v>-96.641676051656006</v>
      </c>
      <c r="Z340" s="55">
        <f>Z337-Y337+(Z338-Y338)+(Z435-Y435)</f>
        <v>-96.641676051655935</v>
      </c>
      <c r="AA340" s="55">
        <f>AA337-Z337+(AA338-Z338)+(AA435-Z435)</f>
        <v>-96.641676051655992</v>
      </c>
    </row>
    <row r="341" spans="1:27" x14ac:dyDescent="0.25">
      <c r="A341" s="9"/>
      <c r="M341" s="55"/>
      <c r="N341" s="55"/>
      <c r="O341" s="55"/>
      <c r="P341" s="55"/>
      <c r="R341" s="55"/>
      <c r="S341" s="55"/>
      <c r="T341" s="55"/>
      <c r="U341" s="55"/>
      <c r="W341" s="55"/>
      <c r="X341" s="55"/>
      <c r="Y341" s="55"/>
      <c r="Z341" s="55"/>
      <c r="AA341" s="55"/>
    </row>
    <row r="342" spans="1:27" x14ac:dyDescent="0.25">
      <c r="A342" s="94" t="s">
        <v>247</v>
      </c>
      <c r="R342" s="55"/>
      <c r="S342" s="55"/>
      <c r="T342" s="55"/>
      <c r="U342" s="55"/>
      <c r="V342" s="55"/>
      <c r="W342" s="55"/>
      <c r="X342" s="55"/>
      <c r="Y342" s="55"/>
      <c r="Z342" s="55"/>
      <c r="AA342" s="55"/>
    </row>
    <row r="343" spans="1:27" x14ac:dyDescent="0.25">
      <c r="A343" s="64" t="s">
        <v>283</v>
      </c>
      <c r="G343" s="96"/>
      <c r="R343" s="55">
        <f>R350*(R210+R213)/1000000</f>
        <v>13.641722661073361</v>
      </c>
      <c r="S343" s="55">
        <f>S350*(S210+S213)/1000000</f>
        <v>13.599331608956696</v>
      </c>
      <c r="T343" s="55">
        <f>T350*(T210+T213)/1000000</f>
        <v>13.650044726025113</v>
      </c>
      <c r="U343" s="55">
        <f>U350*(U210+U213)/1000000</f>
        <v>13.700946956817409</v>
      </c>
      <c r="V343" s="55"/>
      <c r="W343" s="55">
        <f>SUM(R343:U343)</f>
        <v>54.592045952872581</v>
      </c>
      <c r="X343" s="55">
        <f>X350*(X210+X213)/1000000</f>
        <v>55.316617147731677</v>
      </c>
      <c r="Y343" s="55">
        <f>Y350*(Y210+Y213)/1000000</f>
        <v>56.146366404947649</v>
      </c>
      <c r="Z343" s="55">
        <f>Z350*(Z210+Z213)/1000000</f>
        <v>56.98856190102186</v>
      </c>
      <c r="AA343" s="55">
        <f>AA350*(AA210+AA213)/1000000</f>
        <v>57.843390329537186</v>
      </c>
    </row>
    <row r="344" spans="1:27" x14ac:dyDescent="0.25">
      <c r="A344" s="64" t="s">
        <v>284</v>
      </c>
      <c r="G344" s="96"/>
      <c r="R344" s="55">
        <f>R372</f>
        <v>0</v>
      </c>
      <c r="S344" s="55">
        <f t="shared" ref="S344:AA344" si="306">S372</f>
        <v>0</v>
      </c>
      <c r="T344" s="55">
        <f t="shared" si="306"/>
        <v>0</v>
      </c>
      <c r="U344" s="55">
        <f>U372</f>
        <v>0</v>
      </c>
      <c r="V344" s="55"/>
      <c r="W344" s="55">
        <f t="shared" ref="W344:W346" si="307">SUM(R344:U344)</f>
        <v>0</v>
      </c>
      <c r="X344" s="55">
        <f t="shared" si="306"/>
        <v>0</v>
      </c>
      <c r="Y344" s="55">
        <f t="shared" si="306"/>
        <v>0</v>
      </c>
      <c r="Z344" s="55">
        <f t="shared" si="306"/>
        <v>0</v>
      </c>
      <c r="AA344" s="55">
        <f t="shared" si="306"/>
        <v>0</v>
      </c>
    </row>
    <row r="345" spans="1:27" x14ac:dyDescent="0.25">
      <c r="A345" s="64" t="s">
        <v>281</v>
      </c>
      <c r="G345" s="96"/>
      <c r="R345" s="55">
        <f>R384</f>
        <v>0</v>
      </c>
      <c r="S345" s="55">
        <f>S384</f>
        <v>0</v>
      </c>
      <c r="T345" s="55">
        <f>T384</f>
        <v>0</v>
      </c>
      <c r="U345" s="55">
        <f>U384</f>
        <v>0</v>
      </c>
      <c r="V345" s="55"/>
      <c r="W345" s="55">
        <f t="shared" si="307"/>
        <v>0</v>
      </c>
      <c r="X345" s="55">
        <f>X384</f>
        <v>0</v>
      </c>
      <c r="Y345" s="55">
        <f>Y384</f>
        <v>0</v>
      </c>
      <c r="Z345" s="55">
        <f>Z384</f>
        <v>0</v>
      </c>
      <c r="AA345" s="55">
        <f>AA384</f>
        <v>0</v>
      </c>
    </row>
    <row r="346" spans="1:27" x14ac:dyDescent="0.25">
      <c r="A346" s="64" t="s">
        <v>263</v>
      </c>
      <c r="G346" s="96"/>
      <c r="R346" s="62">
        <f>R387</f>
        <v>0</v>
      </c>
      <c r="S346" s="62">
        <f>S387</f>
        <v>0</v>
      </c>
      <c r="T346" s="62">
        <f>T387</f>
        <v>0</v>
      </c>
      <c r="U346" s="62">
        <f>U387</f>
        <v>0</v>
      </c>
      <c r="V346" s="55"/>
      <c r="W346" s="62">
        <f t="shared" si="307"/>
        <v>0</v>
      </c>
      <c r="X346" s="62">
        <f>X387</f>
        <v>0</v>
      </c>
      <c r="Y346" s="62">
        <f>Y387</f>
        <v>0</v>
      </c>
      <c r="Z346" s="62">
        <f>Z387</f>
        <v>0</v>
      </c>
      <c r="AA346" s="62">
        <f>AA387</f>
        <v>0</v>
      </c>
    </row>
    <row r="347" spans="1:27" s="33" customFormat="1" x14ac:dyDescent="0.25">
      <c r="A347" s="112" t="s">
        <v>282</v>
      </c>
      <c r="G347" s="97"/>
      <c r="J347" s="139"/>
      <c r="R347" s="63">
        <f t="shared" ref="R347" si="308">SUM(R343:R346)</f>
        <v>13.641722661073361</v>
      </c>
      <c r="S347" s="63">
        <f t="shared" ref="S347" si="309">SUM(S343:S346)</f>
        <v>13.599331608956696</v>
      </c>
      <c r="T347" s="63">
        <f t="shared" ref="T347" si="310">SUM(T343:T346)</f>
        <v>13.650044726025113</v>
      </c>
      <c r="U347" s="63">
        <f t="shared" ref="U347" si="311">SUM(U343:U346)</f>
        <v>13.700946956817409</v>
      </c>
      <c r="V347" s="63"/>
      <c r="W347" s="63">
        <f t="shared" ref="W347:Z347" si="312">SUM(W343:W346)</f>
        <v>54.592045952872581</v>
      </c>
      <c r="X347" s="63">
        <f t="shared" si="312"/>
        <v>55.316617147731677</v>
      </c>
      <c r="Y347" s="63">
        <f t="shared" si="312"/>
        <v>56.146366404947649</v>
      </c>
      <c r="Z347" s="63">
        <f t="shared" si="312"/>
        <v>56.98856190102186</v>
      </c>
      <c r="AA347" s="63">
        <f>SUM(AA343:AA346)</f>
        <v>57.843390329537186</v>
      </c>
    </row>
    <row r="348" spans="1:27" x14ac:dyDescent="0.25">
      <c r="A348" s="59"/>
      <c r="G348" s="96"/>
      <c r="R348" s="44"/>
      <c r="S348" s="44"/>
      <c r="T348" s="44"/>
      <c r="U348" s="44"/>
      <c r="V348" s="44"/>
      <c r="W348" s="44"/>
      <c r="X348" s="44"/>
      <c r="Y348" s="44"/>
      <c r="Z348" s="44"/>
      <c r="AA348" s="44"/>
    </row>
    <row r="349" spans="1:27" x14ac:dyDescent="0.25">
      <c r="A349" s="59" t="s">
        <v>275</v>
      </c>
      <c r="O349" s="86"/>
      <c r="P349" s="86">
        <v>55</v>
      </c>
      <c r="R349" s="44"/>
      <c r="S349" s="44"/>
      <c r="T349" s="44"/>
      <c r="U349" s="44"/>
      <c r="V349" s="44"/>
      <c r="W349" s="44"/>
      <c r="X349" s="44"/>
      <c r="Y349" s="44"/>
      <c r="Z349" s="44"/>
      <c r="AA349" s="44"/>
    </row>
    <row r="350" spans="1:27" s="33" customFormat="1" x14ac:dyDescent="0.25">
      <c r="A350" s="16" t="s">
        <v>276</v>
      </c>
      <c r="J350" s="139"/>
      <c r="O350" s="146"/>
      <c r="P350" s="146">
        <f>P349*1000000/(N210+N213)</f>
        <v>7480.4488269296162</v>
      </c>
      <c r="Q350" s="342"/>
      <c r="R350" s="146">
        <f>P350/4*(1+$P$316)^(1/4)</f>
        <v>1877.0860214755226</v>
      </c>
      <c r="S350" s="146">
        <f>P350/4*(1+$P$316)^(2/4)</f>
        <v>1884.0858421940561</v>
      </c>
      <c r="T350" s="146">
        <f>P350/4*(1+$P$316)^(3/4)</f>
        <v>1891.1117658665994</v>
      </c>
      <c r="U350" s="146">
        <f>P350/4*(1+$P$316)^(4/4)</f>
        <v>1898.1638898333899</v>
      </c>
      <c r="V350" s="104"/>
      <c r="W350" s="146">
        <f>SUM(R350:U350)</f>
        <v>7550.4475193695671</v>
      </c>
      <c r="X350" s="146">
        <f>W350*(1+$P$316)</f>
        <v>7663.7042321601102</v>
      </c>
      <c r="Y350" s="146">
        <f>X350*(1+$P$316)</f>
        <v>7778.6597956425112</v>
      </c>
      <c r="Z350" s="146">
        <f>Y350*(1+$P$316)</f>
        <v>7895.3396925771485</v>
      </c>
      <c r="AA350" s="146">
        <f>Z350*(1+$P$316)</f>
        <v>8013.7697879658053</v>
      </c>
    </row>
    <row r="351" spans="1:27" x14ac:dyDescent="0.25">
      <c r="A351" s="59"/>
      <c r="G351" s="95"/>
    </row>
    <row r="352" spans="1:27" x14ac:dyDescent="0.25">
      <c r="A352" s="112" t="s">
        <v>249</v>
      </c>
      <c r="S352" s="99"/>
    </row>
    <row r="353" spans="1:27" x14ac:dyDescent="0.25">
      <c r="A353" s="367" t="s">
        <v>181</v>
      </c>
      <c r="S353" s="100"/>
    </row>
    <row r="354" spans="1:27" x14ac:dyDescent="0.25">
      <c r="A354" s="356" t="s">
        <v>182</v>
      </c>
      <c r="G354" s="80">
        <v>215000</v>
      </c>
      <c r="R354" s="343">
        <f t="shared" ref="R354:U358" si="313">$G354*(1+$P$316)^((R$1-$G$1)/4)</f>
        <v>223153.42945954297</v>
      </c>
      <c r="S354" s="343">
        <f t="shared" si="313"/>
        <v>223985.58844483807</v>
      </c>
      <c r="T354" s="343">
        <f t="shared" si="313"/>
        <v>224820.8506249999</v>
      </c>
      <c r="U354" s="343">
        <f t="shared" si="313"/>
        <v>225659.22757211825</v>
      </c>
      <c r="W354" s="343">
        <f t="shared" ref="W354:AA358" si="314">$G354*(1+$P$316)^((W$1-$G$1)/4)</f>
        <v>225659.22757211825</v>
      </c>
      <c r="X354" s="343">
        <f t="shared" si="314"/>
        <v>229044.11598570002</v>
      </c>
      <c r="Y354" s="343">
        <f t="shared" si="314"/>
        <v>232479.7777254855</v>
      </c>
      <c r="Z354" s="343">
        <f t="shared" si="314"/>
        <v>235966.97439136778</v>
      </c>
      <c r="AA354" s="343">
        <f t="shared" si="314"/>
        <v>239506.47900723823</v>
      </c>
    </row>
    <row r="355" spans="1:27" x14ac:dyDescent="0.25">
      <c r="A355" s="356" t="s">
        <v>130</v>
      </c>
      <c r="G355" s="80">
        <v>175000</v>
      </c>
      <c r="R355" s="343">
        <f t="shared" si="313"/>
        <v>181636.51235079078</v>
      </c>
      <c r="S355" s="343">
        <f t="shared" si="313"/>
        <v>182313.85105975191</v>
      </c>
      <c r="T355" s="343">
        <f t="shared" si="313"/>
        <v>182993.71562499992</v>
      </c>
      <c r="U355" s="343">
        <f t="shared" si="313"/>
        <v>183676.11546567766</v>
      </c>
      <c r="W355" s="343">
        <f t="shared" si="314"/>
        <v>183676.11546567766</v>
      </c>
      <c r="X355" s="343">
        <f t="shared" si="314"/>
        <v>186431.25719766281</v>
      </c>
      <c r="Y355" s="343">
        <f t="shared" si="314"/>
        <v>189227.72605562772</v>
      </c>
      <c r="Z355" s="343">
        <f t="shared" si="314"/>
        <v>192066.14194646216</v>
      </c>
      <c r="AA355" s="343">
        <f t="shared" si="314"/>
        <v>194947.13407565904</v>
      </c>
    </row>
    <row r="356" spans="1:27" x14ac:dyDescent="0.25">
      <c r="A356" s="356" t="s">
        <v>194</v>
      </c>
      <c r="G356" s="80">
        <v>40000</v>
      </c>
      <c r="R356" s="343">
        <f t="shared" si="313"/>
        <v>41516.917108752175</v>
      </c>
      <c r="S356" s="343">
        <f t="shared" si="313"/>
        <v>41671.737385086155</v>
      </c>
      <c r="T356" s="343">
        <f t="shared" si="313"/>
        <v>41827.134999999987</v>
      </c>
      <c r="U356" s="343">
        <f t="shared" si="313"/>
        <v>41983.112106440611</v>
      </c>
      <c r="W356" s="343">
        <f t="shared" si="314"/>
        <v>41983.112106440611</v>
      </c>
      <c r="X356" s="343">
        <f t="shared" si="314"/>
        <v>42612.858788037214</v>
      </c>
      <c r="Y356" s="343">
        <f t="shared" si="314"/>
        <v>43252.05166985777</v>
      </c>
      <c r="Z356" s="343">
        <f t="shared" si="314"/>
        <v>43900.832444905638</v>
      </c>
      <c r="AA356" s="343">
        <f t="shared" si="314"/>
        <v>44559.34493157921</v>
      </c>
    </row>
    <row r="357" spans="1:27" x14ac:dyDescent="0.25">
      <c r="A357" s="356" t="s">
        <v>132</v>
      </c>
      <c r="G357" s="80">
        <v>105000</v>
      </c>
      <c r="R357" s="343">
        <f t="shared" si="313"/>
        <v>108981.90741047446</v>
      </c>
      <c r="S357" s="343">
        <f t="shared" si="313"/>
        <v>109388.31063585114</v>
      </c>
      <c r="T357" s="343">
        <f t="shared" si="313"/>
        <v>109796.22937499995</v>
      </c>
      <c r="U357" s="343">
        <f t="shared" si="313"/>
        <v>110205.66927940659</v>
      </c>
      <c r="W357" s="343">
        <f t="shared" si="314"/>
        <v>110205.66927940659</v>
      </c>
      <c r="X357" s="343">
        <f t="shared" si="314"/>
        <v>111858.75431859768</v>
      </c>
      <c r="Y357" s="343">
        <f t="shared" si="314"/>
        <v>113536.63563337665</v>
      </c>
      <c r="Z357" s="343">
        <f t="shared" si="314"/>
        <v>115239.68516787729</v>
      </c>
      <c r="AA357" s="343">
        <f t="shared" si="314"/>
        <v>116968.28044539542</v>
      </c>
    </row>
    <row r="358" spans="1:27" x14ac:dyDescent="0.25">
      <c r="A358" s="356" t="s">
        <v>133</v>
      </c>
      <c r="G358" s="80">
        <v>100000</v>
      </c>
      <c r="R358" s="343">
        <f t="shared" si="313"/>
        <v>103792.29277188044</v>
      </c>
      <c r="S358" s="343">
        <f t="shared" si="313"/>
        <v>104179.34346271538</v>
      </c>
      <c r="T358" s="343">
        <f t="shared" si="313"/>
        <v>104567.83749999997</v>
      </c>
      <c r="U358" s="343">
        <f t="shared" si="313"/>
        <v>104957.78026610152</v>
      </c>
      <c r="W358" s="343">
        <f t="shared" si="314"/>
        <v>104957.78026610152</v>
      </c>
      <c r="X358" s="343">
        <f t="shared" si="314"/>
        <v>106532.14697009303</v>
      </c>
      <c r="Y358" s="343">
        <f t="shared" si="314"/>
        <v>108130.12917464442</v>
      </c>
      <c r="Z358" s="343">
        <f t="shared" si="314"/>
        <v>109752.08111226409</v>
      </c>
      <c r="AA358" s="343">
        <f t="shared" si="314"/>
        <v>111398.36232894802</v>
      </c>
    </row>
    <row r="359" spans="1:27" x14ac:dyDescent="0.25">
      <c r="A359" s="367" t="s">
        <v>198</v>
      </c>
      <c r="G359" s="80"/>
      <c r="R359" s="80"/>
    </row>
    <row r="360" spans="1:27" x14ac:dyDescent="0.25">
      <c r="A360" s="356" t="s">
        <v>182</v>
      </c>
      <c r="G360" s="80">
        <f>120000*$P$317</f>
        <v>198000</v>
      </c>
      <c r="R360" s="343">
        <f t="shared" ref="R360:U362" si="315">$G360*(1+$P$316)^((R$1-$G$1)/4)</f>
        <v>205508.73968832329</v>
      </c>
      <c r="S360" s="343">
        <f t="shared" si="315"/>
        <v>206275.10005617645</v>
      </c>
      <c r="T360" s="343">
        <f t="shared" si="315"/>
        <v>207044.31824999992</v>
      </c>
      <c r="U360" s="343">
        <f t="shared" si="315"/>
        <v>207816.40492688102</v>
      </c>
      <c r="W360" s="343">
        <f t="shared" ref="W360:AA362" si="316">$G360*(1+$P$316)^((W$1-$G$1)/4)</f>
        <v>207816.40492688102</v>
      </c>
      <c r="X360" s="343">
        <f t="shared" si="316"/>
        <v>210933.65100078422</v>
      </c>
      <c r="Y360" s="343">
        <f t="shared" si="316"/>
        <v>214097.65576579593</v>
      </c>
      <c r="Z360" s="343">
        <f t="shared" si="316"/>
        <v>217309.1206022829</v>
      </c>
      <c r="AA360" s="343">
        <f t="shared" si="316"/>
        <v>220568.75741131708</v>
      </c>
    </row>
    <row r="361" spans="1:27" x14ac:dyDescent="0.25">
      <c r="A361" s="356" t="s">
        <v>137</v>
      </c>
      <c r="G361" s="80">
        <f>70000*$P$317</f>
        <v>115500</v>
      </c>
      <c r="R361" s="343">
        <f t="shared" si="315"/>
        <v>119880.09815152192</v>
      </c>
      <c r="S361" s="343">
        <f t="shared" si="315"/>
        <v>120327.14169943627</v>
      </c>
      <c r="T361" s="343">
        <f t="shared" si="315"/>
        <v>120775.85231249995</v>
      </c>
      <c r="U361" s="343">
        <f t="shared" si="315"/>
        <v>121226.23620734726</v>
      </c>
      <c r="W361" s="343">
        <f t="shared" si="316"/>
        <v>121226.23620734726</v>
      </c>
      <c r="X361" s="343">
        <f t="shared" si="316"/>
        <v>123044.62975045745</v>
      </c>
      <c r="Y361" s="343">
        <f t="shared" si="316"/>
        <v>124890.2991967143</v>
      </c>
      <c r="Z361" s="343">
        <f t="shared" si="316"/>
        <v>126763.65368466503</v>
      </c>
      <c r="AA361" s="343">
        <f t="shared" si="316"/>
        <v>128665.10848993497</v>
      </c>
    </row>
    <row r="362" spans="1:27" x14ac:dyDescent="0.25">
      <c r="A362" s="356" t="s">
        <v>248</v>
      </c>
      <c r="G362" s="80">
        <f>500000*$P$317</f>
        <v>825000</v>
      </c>
      <c r="R362" s="343">
        <f t="shared" si="315"/>
        <v>856286.41536801367</v>
      </c>
      <c r="S362" s="343">
        <f t="shared" si="315"/>
        <v>859479.58356740186</v>
      </c>
      <c r="T362" s="343">
        <f t="shared" si="315"/>
        <v>862684.6593749997</v>
      </c>
      <c r="U362" s="343">
        <f t="shared" si="315"/>
        <v>865901.68719533749</v>
      </c>
      <c r="W362" s="343">
        <f t="shared" si="316"/>
        <v>865901.68719533749</v>
      </c>
      <c r="X362" s="343">
        <f t="shared" si="316"/>
        <v>878890.21250326757</v>
      </c>
      <c r="Y362" s="343">
        <f t="shared" si="316"/>
        <v>892073.5656908165</v>
      </c>
      <c r="Z362" s="343">
        <f t="shared" si="316"/>
        <v>905454.66917617875</v>
      </c>
      <c r="AA362" s="343">
        <f t="shared" si="316"/>
        <v>919036.48921382113</v>
      </c>
    </row>
    <row r="363" spans="1:27" x14ac:dyDescent="0.25">
      <c r="A363" s="356"/>
      <c r="G363" s="80"/>
      <c r="R363" s="80"/>
      <c r="S363" s="80"/>
      <c r="T363" s="80"/>
      <c r="U363" s="80"/>
      <c r="W363" s="80"/>
      <c r="X363" s="80"/>
      <c r="Y363" s="80"/>
      <c r="Z363" s="80"/>
      <c r="AA363" s="80"/>
    </row>
    <row r="364" spans="1:27" x14ac:dyDescent="0.25">
      <c r="A364" s="112" t="s">
        <v>277</v>
      </c>
      <c r="G364" s="80"/>
      <c r="R364" s="80"/>
      <c r="S364" s="80"/>
      <c r="T364" s="80"/>
      <c r="U364" s="80"/>
      <c r="W364" s="80"/>
      <c r="X364" s="80"/>
      <c r="Y364" s="80"/>
      <c r="Z364" s="80"/>
      <c r="AA364" s="80"/>
    </row>
    <row r="365" spans="1:27" x14ac:dyDescent="0.25">
      <c r="A365" s="367" t="s">
        <v>181</v>
      </c>
      <c r="Q365" s="55"/>
      <c r="R365" s="55"/>
      <c r="S365" s="55"/>
      <c r="T365" s="55"/>
      <c r="U365" s="55"/>
      <c r="V365" s="55"/>
      <c r="W365" s="55"/>
      <c r="X365" s="55"/>
      <c r="Y365" s="55"/>
      <c r="Z365" s="55"/>
      <c r="AA365" s="55"/>
    </row>
    <row r="366" spans="1:27" x14ac:dyDescent="0.25">
      <c r="A366" s="356" t="s">
        <v>182</v>
      </c>
      <c r="Q366" s="55"/>
      <c r="R366" s="55">
        <f>R354*R502/1000000</f>
        <v>0</v>
      </c>
      <c r="S366" s="55">
        <f>S354*S502/1000000</f>
        <v>0</v>
      </c>
      <c r="T366" s="55">
        <f>T354*T502/1000000</f>
        <v>0</v>
      </c>
      <c r="U366" s="55">
        <f>U354*U502/1000000</f>
        <v>0</v>
      </c>
      <c r="V366" s="55"/>
      <c r="W366" s="55">
        <f t="shared" ref="W366:W371" si="317">SUM(R366:U366)</f>
        <v>0</v>
      </c>
      <c r="X366" s="55">
        <f>X354*X502/1000000</f>
        <v>0</v>
      </c>
      <c r="Y366" s="55">
        <f>Y354*Y502/1000000</f>
        <v>0</v>
      </c>
      <c r="Z366" s="55">
        <f>Z354*Z502/1000000</f>
        <v>0</v>
      </c>
      <c r="AA366" s="55">
        <f>AA354*AA502/1000000</f>
        <v>0</v>
      </c>
    </row>
    <row r="367" spans="1:27" x14ac:dyDescent="0.25">
      <c r="A367" s="356" t="s">
        <v>130</v>
      </c>
      <c r="Q367" s="55"/>
      <c r="R367" s="55">
        <f>R355*R515/1000000</f>
        <v>0</v>
      </c>
      <c r="S367" s="55">
        <f>S355*S515/1000000</f>
        <v>0</v>
      </c>
      <c r="T367" s="55">
        <f>T355*T515/1000000</f>
        <v>0</v>
      </c>
      <c r="U367" s="55">
        <f>U355*U515/1000000</f>
        <v>0</v>
      </c>
      <c r="V367" s="55"/>
      <c r="W367" s="55">
        <f t="shared" si="317"/>
        <v>0</v>
      </c>
      <c r="X367" s="55">
        <f>X355*X515/1000000</f>
        <v>0</v>
      </c>
      <c r="Y367" s="55">
        <f>Y355*Y504/1000000</f>
        <v>0</v>
      </c>
      <c r="Z367" s="55">
        <f>Z355*Z504/1000000</f>
        <v>0</v>
      </c>
      <c r="AA367" s="55">
        <f>AA355*AA504/1000000</f>
        <v>0</v>
      </c>
    </row>
    <row r="368" spans="1:27" x14ac:dyDescent="0.25">
      <c r="A368" s="356" t="s">
        <v>194</v>
      </c>
      <c r="Q368" s="55"/>
      <c r="R368" s="55">
        <f>R356*R528/1000000</f>
        <v>0</v>
      </c>
      <c r="S368" s="55">
        <f>S356*S528/1000000</f>
        <v>0</v>
      </c>
      <c r="T368" s="55">
        <f>T356*T528/1000000</f>
        <v>0</v>
      </c>
      <c r="U368" s="55">
        <f>U356*U528/1000000</f>
        <v>0</v>
      </c>
      <c r="V368" s="55"/>
      <c r="W368" s="55">
        <f t="shared" si="317"/>
        <v>0</v>
      </c>
      <c r="X368" s="55">
        <f>X356*X528/1000000</f>
        <v>0</v>
      </c>
      <c r="Y368" s="55">
        <f>Y356*Y528/1000000</f>
        <v>0</v>
      </c>
      <c r="Z368" s="55">
        <f>Z356*Z528/1000000</f>
        <v>0</v>
      </c>
      <c r="AA368" s="55">
        <f>AA356*AA528/1000000</f>
        <v>0</v>
      </c>
    </row>
    <row r="369" spans="1:27" x14ac:dyDescent="0.25">
      <c r="A369" s="356" t="s">
        <v>132</v>
      </c>
      <c r="Q369" s="55"/>
      <c r="R369" s="55">
        <f>R357*R541/1000000</f>
        <v>0</v>
      </c>
      <c r="S369" s="55">
        <f>S357*S541/1000000</f>
        <v>0</v>
      </c>
      <c r="T369" s="55">
        <f>T357*T541/1000000</f>
        <v>0</v>
      </c>
      <c r="U369" s="55">
        <f>U357*U541/1000000</f>
        <v>0</v>
      </c>
      <c r="V369" s="55"/>
      <c r="W369" s="55">
        <f t="shared" si="317"/>
        <v>0</v>
      </c>
      <c r="X369" s="55">
        <f>X357*X541/1000000</f>
        <v>0</v>
      </c>
      <c r="Y369" s="55">
        <f>Y357*Y541/1000000</f>
        <v>0</v>
      </c>
      <c r="Z369" s="55">
        <f>Z357*Z541/1000000</f>
        <v>0</v>
      </c>
      <c r="AA369" s="55">
        <f>AA357*AA541/1000000</f>
        <v>0</v>
      </c>
    </row>
    <row r="370" spans="1:27" x14ac:dyDescent="0.25">
      <c r="A370" s="356" t="s">
        <v>133</v>
      </c>
      <c r="Q370" s="55"/>
      <c r="R370" s="55">
        <f>R358*R554/1000000</f>
        <v>0</v>
      </c>
      <c r="S370" s="55">
        <f>S358*S554/1000000</f>
        <v>0</v>
      </c>
      <c r="T370" s="55">
        <f>T358*T554/1000000</f>
        <v>0</v>
      </c>
      <c r="U370" s="55">
        <f>U358*U554/1000000</f>
        <v>0</v>
      </c>
      <c r="V370" s="55"/>
      <c r="W370" s="55">
        <f t="shared" si="317"/>
        <v>0</v>
      </c>
      <c r="X370" s="55">
        <f>X358*X554/1000000</f>
        <v>0</v>
      </c>
      <c r="Y370" s="55">
        <f>Y358*Y554/1000000</f>
        <v>0</v>
      </c>
      <c r="Z370" s="55">
        <f>Z358*Z554/1000000</f>
        <v>0</v>
      </c>
      <c r="AA370" s="55">
        <f>AA358*AA554/1000000</f>
        <v>0</v>
      </c>
    </row>
    <row r="371" spans="1:27" x14ac:dyDescent="0.25">
      <c r="A371" s="367" t="s">
        <v>293</v>
      </c>
      <c r="Q371" s="55"/>
      <c r="R371" s="62">
        <f>R361*R580</f>
        <v>0</v>
      </c>
      <c r="S371" s="62">
        <f>S361*S580</f>
        <v>0</v>
      </c>
      <c r="T371" s="62">
        <f>T361*T580</f>
        <v>0</v>
      </c>
      <c r="U371" s="62">
        <f>U361*U580</f>
        <v>0</v>
      </c>
      <c r="V371" s="55"/>
      <c r="W371" s="62">
        <f t="shared" si="317"/>
        <v>0</v>
      </c>
      <c r="X371" s="62">
        <f>X361*X580</f>
        <v>0</v>
      </c>
      <c r="Y371" s="62">
        <f>Y361*Y580</f>
        <v>0</v>
      </c>
      <c r="Z371" s="62">
        <f>Z361*Z580</f>
        <v>0</v>
      </c>
      <c r="AA371" s="62">
        <f>AA361*AA580</f>
        <v>0</v>
      </c>
    </row>
    <row r="372" spans="1:27" s="33" customFormat="1" x14ac:dyDescent="0.25">
      <c r="A372" s="112" t="s">
        <v>278</v>
      </c>
      <c r="J372" s="139"/>
      <c r="Q372" s="63"/>
      <c r="R372" s="63">
        <f>SUM(R366:R371)</f>
        <v>0</v>
      </c>
      <c r="S372" s="63">
        <f t="shared" ref="S372:U372" si="318">SUM(S366:S371)</f>
        <v>0</v>
      </c>
      <c r="T372" s="63">
        <f t="shared" si="318"/>
        <v>0</v>
      </c>
      <c r="U372" s="63">
        <f t="shared" si="318"/>
        <v>0</v>
      </c>
      <c r="V372" s="63"/>
      <c r="W372" s="63">
        <f t="shared" ref="W372" si="319">SUM(W366:W371)</f>
        <v>0</v>
      </c>
      <c r="X372" s="63">
        <f t="shared" ref="X372" si="320">SUM(X366:X371)</f>
        <v>0</v>
      </c>
      <c r="Y372" s="63">
        <f t="shared" ref="Y372" si="321">SUM(Y366:Y371)</f>
        <v>0</v>
      </c>
      <c r="Z372" s="63">
        <f t="shared" ref="Z372" si="322">SUM(Z366:Z371)</f>
        <v>0</v>
      </c>
      <c r="AA372" s="63">
        <f t="shared" ref="AA372" si="323">SUM(AA366:AA371)</f>
        <v>0</v>
      </c>
    </row>
    <row r="373" spans="1:27" x14ac:dyDescent="0.25">
      <c r="A373" s="356"/>
      <c r="Q373" s="55"/>
      <c r="R373" s="55"/>
      <c r="S373" s="55"/>
      <c r="T373" s="55"/>
      <c r="U373" s="55"/>
      <c r="V373" s="55"/>
      <c r="W373" s="55"/>
      <c r="X373" s="55"/>
      <c r="Y373" s="55"/>
      <c r="Z373" s="55"/>
      <c r="AA373" s="55"/>
    </row>
    <row r="374" spans="1:27" x14ac:dyDescent="0.25">
      <c r="A374" s="112" t="s">
        <v>261</v>
      </c>
    </row>
    <row r="375" spans="1:27" x14ac:dyDescent="0.25">
      <c r="A375" s="356" t="s">
        <v>194</v>
      </c>
      <c r="R375" s="87">
        <f t="shared" ref="R375:U377" si="324">$P$380*SUM(N239:R239)</f>
        <v>193842.65309654898</v>
      </c>
      <c r="S375" s="87">
        <f t="shared" si="324"/>
        <v>195328.41453175063</v>
      </c>
      <c r="T375" s="87">
        <f t="shared" si="324"/>
        <v>196781.14493867185</v>
      </c>
      <c r="U375" s="87">
        <f t="shared" si="324"/>
        <v>198208.3908723213</v>
      </c>
      <c r="W375" s="87">
        <f t="shared" ref="W375:AA377" si="325">$P$380*W239</f>
        <v>198208.3908723213</v>
      </c>
      <c r="X375" s="87">
        <f t="shared" si="325"/>
        <v>204154.64259849093</v>
      </c>
      <c r="Y375" s="87">
        <f t="shared" si="325"/>
        <v>210279.28187644566</v>
      </c>
      <c r="Z375" s="87">
        <f t="shared" si="325"/>
        <v>216587.66033273903</v>
      </c>
      <c r="AA375" s="87">
        <f t="shared" si="325"/>
        <v>223085.29014272121</v>
      </c>
    </row>
    <row r="376" spans="1:27" x14ac:dyDescent="0.25">
      <c r="A376" s="356" t="s">
        <v>132</v>
      </c>
      <c r="R376" s="87">
        <f t="shared" si="324"/>
        <v>274481.04885168746</v>
      </c>
      <c r="S376" s="87">
        <f t="shared" si="324"/>
        <v>276485.12569122529</v>
      </c>
      <c r="T376" s="87">
        <f t="shared" si="324"/>
        <v>278598.94525219093</v>
      </c>
      <c r="U376" s="87">
        <f t="shared" si="324"/>
        <v>280667.95064182434</v>
      </c>
      <c r="W376" s="87">
        <f t="shared" si="325"/>
        <v>280667.95064182434</v>
      </c>
      <c r="X376" s="87">
        <f t="shared" si="325"/>
        <v>289087.98916107905</v>
      </c>
      <c r="Y376" s="87">
        <f t="shared" si="325"/>
        <v>297760.62883591146</v>
      </c>
      <c r="Z376" s="87">
        <f t="shared" si="325"/>
        <v>306693.44770098879</v>
      </c>
      <c r="AA376" s="87">
        <f t="shared" si="325"/>
        <v>315894.25113201846</v>
      </c>
    </row>
    <row r="377" spans="1:27" x14ac:dyDescent="0.25">
      <c r="A377" s="356" t="s">
        <v>133</v>
      </c>
      <c r="R377" s="87">
        <f t="shared" si="324"/>
        <v>240185.51305417402</v>
      </c>
      <c r="S377" s="87">
        <f t="shared" si="324"/>
        <v>241935.91125631309</v>
      </c>
      <c r="T377" s="87">
        <f t="shared" si="324"/>
        <v>243795.35505667177</v>
      </c>
      <c r="U377" s="87">
        <f t="shared" si="324"/>
        <v>245602.75281327366</v>
      </c>
      <c r="W377" s="87">
        <f t="shared" si="325"/>
        <v>245602.75281327366</v>
      </c>
      <c r="X377" s="87">
        <f t="shared" si="325"/>
        <v>252970.83539767188</v>
      </c>
      <c r="Y377" s="87">
        <f t="shared" si="325"/>
        <v>260559.96045960204</v>
      </c>
      <c r="Z377" s="87">
        <f t="shared" si="325"/>
        <v>268376.75927339011</v>
      </c>
      <c r="AA377" s="87">
        <f t="shared" si="325"/>
        <v>276428.06205159181</v>
      </c>
    </row>
    <row r="378" spans="1:27" x14ac:dyDescent="0.25">
      <c r="A378" s="82"/>
    </row>
    <row r="379" spans="1:27" x14ac:dyDescent="0.25">
      <c r="A379" s="112" t="s">
        <v>279</v>
      </c>
      <c r="R379" s="55"/>
      <c r="S379" s="55"/>
      <c r="T379" s="55"/>
      <c r="U379" s="55"/>
      <c r="V379" s="55"/>
      <c r="W379" s="55"/>
      <c r="X379" s="55"/>
      <c r="Y379" s="55"/>
      <c r="Z379" s="55"/>
      <c r="AA379" s="55"/>
    </row>
    <row r="380" spans="1:27" x14ac:dyDescent="0.25">
      <c r="A380" s="59" t="s">
        <v>262</v>
      </c>
      <c r="O380" s="96"/>
      <c r="P380" s="96">
        <v>1</v>
      </c>
    </row>
    <row r="381" spans="1:27" x14ac:dyDescent="0.25">
      <c r="A381" s="356" t="str">
        <f>A375</f>
        <v>SmartStyle / Cost Cutters (in Wal-Mart)</v>
      </c>
      <c r="R381" s="55">
        <f>R375*R530/1000000</f>
        <v>0</v>
      </c>
      <c r="S381" s="55">
        <f>S375*S530/1000000</f>
        <v>0</v>
      </c>
      <c r="T381" s="55">
        <f>T375*T530/1000000</f>
        <v>0</v>
      </c>
      <c r="U381" s="55">
        <f>U375*U530/1000000</f>
        <v>0</v>
      </c>
      <c r="V381" s="55"/>
      <c r="W381" s="55">
        <f>SUM(R381:U381)</f>
        <v>0</v>
      </c>
      <c r="X381" s="55">
        <f>X375*X530/1000000</f>
        <v>0</v>
      </c>
      <c r="Y381" s="55">
        <f>Y375*Y530/1000000</f>
        <v>0</v>
      </c>
      <c r="Z381" s="55">
        <f>Z375*Z530/1000000</f>
        <v>0</v>
      </c>
      <c r="AA381" s="55">
        <f>AA375*AA530/1000000</f>
        <v>0</v>
      </c>
    </row>
    <row r="382" spans="1:27" x14ac:dyDescent="0.25">
      <c r="A382" s="356" t="str">
        <f>A376</f>
        <v>SuperCuts</v>
      </c>
      <c r="R382" s="71">
        <f>R376*R543/1000000</f>
        <v>0</v>
      </c>
      <c r="S382" s="71">
        <f>S376*S543/1000000</f>
        <v>0</v>
      </c>
      <c r="T382" s="71">
        <f>T376*T543/1000000</f>
        <v>0</v>
      </c>
      <c r="U382" s="71">
        <f>U376*U543/1000000</f>
        <v>0</v>
      </c>
      <c r="V382" s="55"/>
      <c r="W382" s="55">
        <f>SUM(R382:U382)</f>
        <v>0</v>
      </c>
      <c r="X382" s="55">
        <f>X376*X543/1000000</f>
        <v>0</v>
      </c>
      <c r="Y382" s="55">
        <f>Y376*Y543/1000000</f>
        <v>0</v>
      </c>
      <c r="Z382" s="55">
        <f>Z376*Z543/1000000</f>
        <v>0</v>
      </c>
      <c r="AA382" s="55">
        <f>AA376*AA543/1000000</f>
        <v>0</v>
      </c>
    </row>
    <row r="383" spans="1:27" x14ac:dyDescent="0.25">
      <c r="A383" s="356" t="str">
        <f>A377</f>
        <v>Promenade</v>
      </c>
      <c r="R383" s="62">
        <f>R377*R556/1000000</f>
        <v>0</v>
      </c>
      <c r="S383" s="62">
        <f>S377*S556/1000000</f>
        <v>0</v>
      </c>
      <c r="T383" s="62">
        <f>T377*T556/1000000</f>
        <v>0</v>
      </c>
      <c r="U383" s="62">
        <f>U377*U556/1000000</f>
        <v>0</v>
      </c>
      <c r="V383" s="55"/>
      <c r="W383" s="62">
        <f>SUM(R383:U383)</f>
        <v>0</v>
      </c>
      <c r="X383" s="62">
        <f>X377*X556/1000000</f>
        <v>0</v>
      </c>
      <c r="Y383" s="62">
        <f>Y377*Y556/1000000</f>
        <v>0</v>
      </c>
      <c r="Z383" s="62">
        <f>Z377*Z556/1000000</f>
        <v>0</v>
      </c>
      <c r="AA383" s="62">
        <f>AA377*AA556/1000000</f>
        <v>0</v>
      </c>
    </row>
    <row r="384" spans="1:27" s="33" customFormat="1" x14ac:dyDescent="0.25">
      <c r="A384" s="112" t="s">
        <v>280</v>
      </c>
      <c r="J384" s="139"/>
      <c r="R384" s="63">
        <f t="shared" ref="R384:Z384" si="326">SUM(R381:R383)</f>
        <v>0</v>
      </c>
      <c r="S384" s="63">
        <f t="shared" si="326"/>
        <v>0</v>
      </c>
      <c r="T384" s="63">
        <f t="shared" si="326"/>
        <v>0</v>
      </c>
      <c r="U384" s="63">
        <f t="shared" si="326"/>
        <v>0</v>
      </c>
      <c r="V384" s="63"/>
      <c r="W384" s="63">
        <f t="shared" si="326"/>
        <v>0</v>
      </c>
      <c r="X384" s="63">
        <f t="shared" si="326"/>
        <v>0</v>
      </c>
      <c r="Y384" s="63">
        <f t="shared" si="326"/>
        <v>0</v>
      </c>
      <c r="Z384" s="63">
        <f t="shared" si="326"/>
        <v>0</v>
      </c>
      <c r="AA384" s="63">
        <f>SUM(AA381:AA383)</f>
        <v>0</v>
      </c>
    </row>
    <row r="385" spans="1:28" x14ac:dyDescent="0.25">
      <c r="A385" s="368" t="s">
        <v>8698</v>
      </c>
      <c r="R385" s="273">
        <v>0</v>
      </c>
      <c r="S385" s="273">
        <v>0</v>
      </c>
      <c r="T385" s="273">
        <v>0</v>
      </c>
      <c r="U385" s="273">
        <v>0</v>
      </c>
      <c r="V385" s="55"/>
      <c r="W385" s="313">
        <f>SUM(R385:U385)</f>
        <v>0</v>
      </c>
      <c r="X385" s="273">
        <v>0</v>
      </c>
      <c r="Y385" s="273">
        <v>0</v>
      </c>
      <c r="Z385" s="273">
        <v>0</v>
      </c>
      <c r="AA385" s="273">
        <v>0</v>
      </c>
    </row>
    <row r="386" spans="1:28" x14ac:dyDescent="0.25">
      <c r="A386" s="356"/>
      <c r="R386" s="273"/>
      <c r="S386" s="273"/>
      <c r="T386" s="273"/>
      <c r="U386" s="273"/>
      <c r="V386" s="55"/>
      <c r="W386" s="313"/>
      <c r="X386" s="273"/>
      <c r="Y386" s="273"/>
      <c r="Z386" s="273"/>
      <c r="AA386" s="273"/>
    </row>
    <row r="387" spans="1:28" s="33" customFormat="1" x14ac:dyDescent="0.25">
      <c r="A387" s="112" t="s">
        <v>285</v>
      </c>
      <c r="J387" s="139"/>
      <c r="R387" s="317">
        <v>0</v>
      </c>
      <c r="S387" s="317">
        <v>0</v>
      </c>
      <c r="T387" s="317">
        <v>0</v>
      </c>
      <c r="U387" s="317">
        <v>0</v>
      </c>
      <c r="V387" s="63"/>
      <c r="W387" s="318">
        <f>SUM(R387:U387)</f>
        <v>0</v>
      </c>
      <c r="X387" s="317">
        <v>0</v>
      </c>
      <c r="Y387" s="317">
        <v>0</v>
      </c>
      <c r="Z387" s="317">
        <v>0</v>
      </c>
      <c r="AA387" s="317">
        <v>0</v>
      </c>
    </row>
    <row r="388" spans="1:28" x14ac:dyDescent="0.25">
      <c r="A388" s="368" t="s">
        <v>8697</v>
      </c>
      <c r="R388" s="273">
        <v>0</v>
      </c>
      <c r="S388" s="273">
        <v>0</v>
      </c>
      <c r="T388" s="273">
        <v>0</v>
      </c>
      <c r="U388" s="273">
        <v>0</v>
      </c>
      <c r="V388" s="55"/>
      <c r="W388" s="313">
        <f>SUM(R388:U388)</f>
        <v>0</v>
      </c>
      <c r="X388" s="273">
        <v>0</v>
      </c>
      <c r="Y388" s="273">
        <v>0</v>
      </c>
      <c r="Z388" s="273">
        <v>0</v>
      </c>
      <c r="AA388" s="273">
        <v>0</v>
      </c>
    </row>
    <row r="389" spans="1:28" x14ac:dyDescent="0.25">
      <c r="A389" s="82"/>
      <c r="R389" s="55"/>
      <c r="S389" s="55"/>
      <c r="T389" s="55"/>
      <c r="U389" s="55"/>
      <c r="V389" s="55"/>
      <c r="W389" s="55"/>
      <c r="X389" s="55"/>
      <c r="Y389" s="55"/>
      <c r="Z389" s="55"/>
      <c r="AA389" s="55"/>
    </row>
    <row r="390" spans="1:28" x14ac:dyDescent="0.25">
      <c r="A390" s="10" t="s">
        <v>301</v>
      </c>
      <c r="G390" s="55"/>
      <c r="H390" s="55"/>
      <c r="I390" s="55"/>
      <c r="J390" s="140"/>
      <c r="K390" s="260"/>
      <c r="L390" s="55"/>
      <c r="M390" s="55"/>
      <c r="N390" s="55"/>
      <c r="O390" s="55"/>
      <c r="P390" s="55"/>
      <c r="Q390" s="55"/>
      <c r="R390" s="55"/>
      <c r="S390" s="55"/>
      <c r="T390" s="55"/>
      <c r="U390" s="55"/>
      <c r="V390" s="55"/>
      <c r="W390" s="55"/>
      <c r="X390" s="55"/>
      <c r="Y390" s="55"/>
      <c r="Z390" s="55"/>
      <c r="AA390" s="55"/>
    </row>
    <row r="391" spans="1:28" x14ac:dyDescent="0.25">
      <c r="A391" s="356" t="s">
        <v>298</v>
      </c>
      <c r="G391" s="55">
        <f t="shared" ref="G391" si="327">SUM(G397:G401)</f>
        <v>427.28700000000003</v>
      </c>
      <c r="H391" s="55"/>
      <c r="I391" s="55"/>
      <c r="J391" s="140"/>
      <c r="K391" s="55">
        <f>SUM(K397:K401)</f>
        <v>425.93200000000002</v>
      </c>
      <c r="L391" s="55">
        <f t="shared" ref="L391:N391" si="328">SUM(L397:L401)</f>
        <v>426.76599999999996</v>
      </c>
      <c r="M391" s="55">
        <f t="shared" si="328"/>
        <v>425.29700000000003</v>
      </c>
      <c r="N391" s="55">
        <f t="shared" si="328"/>
        <v>423.70400000000001</v>
      </c>
      <c r="O391" s="55">
        <v>425.26400000000001</v>
      </c>
      <c r="P391" s="55">
        <f>O391</f>
        <v>425.26400000000001</v>
      </c>
      <c r="Q391" s="55"/>
      <c r="R391" s="55">
        <f>SUM(R397:R401)</f>
        <v>423.30400000000003</v>
      </c>
      <c r="S391" s="55">
        <f t="shared" ref="S391:U391" si="329">SUM(S397:S401)</f>
        <v>423.30400000000003</v>
      </c>
      <c r="T391" s="55">
        <f t="shared" si="329"/>
        <v>423.30400000000003</v>
      </c>
      <c r="U391" s="55">
        <f t="shared" si="329"/>
        <v>423.30400000000003</v>
      </c>
      <c r="V391" s="55"/>
      <c r="W391" s="55">
        <f t="shared" ref="W391:AA391" si="330">SUM(W397:W401)</f>
        <v>423.30400000000003</v>
      </c>
      <c r="X391" s="55">
        <f t="shared" si="330"/>
        <v>423.30400000000003</v>
      </c>
      <c r="Y391" s="55">
        <f t="shared" si="330"/>
        <v>423.30400000000003</v>
      </c>
      <c r="Z391" s="55">
        <f t="shared" si="330"/>
        <v>423.30400000000003</v>
      </c>
      <c r="AA391" s="55">
        <f t="shared" si="330"/>
        <v>423.30400000000003</v>
      </c>
    </row>
    <row r="392" spans="1:28" x14ac:dyDescent="0.25">
      <c r="A392" s="356" t="s">
        <v>299</v>
      </c>
      <c r="G392" s="62">
        <f t="shared" ref="G392" si="331">G396</f>
        <v>34.991999999999997</v>
      </c>
      <c r="H392" s="62"/>
      <c r="I392" s="62"/>
      <c r="J392" s="143"/>
      <c r="K392" s="62">
        <f t="shared" ref="K392:L392" si="332">K396</f>
        <v>34.953000000000003</v>
      </c>
      <c r="L392" s="62">
        <f t="shared" si="332"/>
        <v>34.973999999999997</v>
      </c>
      <c r="M392" s="62">
        <f>M396</f>
        <v>3.4999999999996589E-2</v>
      </c>
      <c r="N392" s="62">
        <f>N396</f>
        <v>0</v>
      </c>
      <c r="O392" s="62">
        <v>0</v>
      </c>
      <c r="P392" s="62">
        <v>0</v>
      </c>
      <c r="Q392" s="55"/>
      <c r="R392" s="62">
        <f>R396</f>
        <v>0</v>
      </c>
      <c r="S392" s="62">
        <f t="shared" ref="S392:U392" si="333">S396</f>
        <v>0</v>
      </c>
      <c r="T392" s="62">
        <f t="shared" si="333"/>
        <v>0</v>
      </c>
      <c r="U392" s="62">
        <f t="shared" si="333"/>
        <v>0</v>
      </c>
      <c r="V392" s="71"/>
      <c r="W392" s="62">
        <f t="shared" ref="W392:AA392" si="334">W396</f>
        <v>0</v>
      </c>
      <c r="X392" s="62">
        <f t="shared" si="334"/>
        <v>0</v>
      </c>
      <c r="Y392" s="62">
        <f t="shared" si="334"/>
        <v>0</v>
      </c>
      <c r="Z392" s="62">
        <f t="shared" si="334"/>
        <v>0</v>
      </c>
      <c r="AA392" s="62">
        <f t="shared" si="334"/>
        <v>0</v>
      </c>
    </row>
    <row r="393" spans="1:28" s="33" customFormat="1" x14ac:dyDescent="0.25">
      <c r="A393" s="10" t="s">
        <v>300</v>
      </c>
      <c r="G393" s="63">
        <f>SUM(G391:G392)</f>
        <v>462.27900000000005</v>
      </c>
      <c r="H393" s="63"/>
      <c r="I393" s="63"/>
      <c r="J393" s="141"/>
      <c r="K393" s="63">
        <f t="shared" ref="K393:AA393" si="335">SUM(K391:K392)</f>
        <v>460.88499999999999</v>
      </c>
      <c r="L393" s="63">
        <f t="shared" si="335"/>
        <v>461.73999999999995</v>
      </c>
      <c r="M393" s="63">
        <f t="shared" si="335"/>
        <v>425.33199999999999</v>
      </c>
      <c r="N393" s="63">
        <f t="shared" si="335"/>
        <v>423.70400000000001</v>
      </c>
      <c r="O393" s="63">
        <f t="shared" si="335"/>
        <v>425.26400000000001</v>
      </c>
      <c r="P393" s="63">
        <f t="shared" si="335"/>
        <v>425.26400000000001</v>
      </c>
      <c r="Q393" s="63"/>
      <c r="R393" s="63">
        <f t="shared" si="335"/>
        <v>423.30400000000003</v>
      </c>
      <c r="S393" s="63">
        <f t="shared" si="335"/>
        <v>423.30400000000003</v>
      </c>
      <c r="T393" s="63">
        <f t="shared" si="335"/>
        <v>423.30400000000003</v>
      </c>
      <c r="U393" s="63">
        <f t="shared" si="335"/>
        <v>423.30400000000003</v>
      </c>
      <c r="V393" s="265"/>
      <c r="W393" s="63">
        <f t="shared" si="335"/>
        <v>423.30400000000003</v>
      </c>
      <c r="X393" s="63">
        <f t="shared" si="335"/>
        <v>423.30400000000003</v>
      </c>
      <c r="Y393" s="63">
        <f t="shared" si="335"/>
        <v>423.30400000000003</v>
      </c>
      <c r="Z393" s="63">
        <f t="shared" si="335"/>
        <v>423.30400000000003</v>
      </c>
      <c r="AA393" s="63">
        <f t="shared" si="335"/>
        <v>423.30400000000003</v>
      </c>
    </row>
    <row r="394" spans="1:28" x14ac:dyDescent="0.25">
      <c r="A394" s="82"/>
      <c r="G394" s="55"/>
      <c r="H394" s="55"/>
      <c r="I394" s="55"/>
      <c r="J394" s="140"/>
      <c r="K394" s="55"/>
      <c r="L394" s="55"/>
      <c r="M394" s="55"/>
      <c r="N394" s="55"/>
      <c r="O394" s="55"/>
      <c r="P394" s="55"/>
      <c r="Q394" s="55"/>
      <c r="V394" s="43"/>
    </row>
    <row r="395" spans="1:28" x14ac:dyDescent="0.25">
      <c r="A395" s="10" t="s">
        <v>251</v>
      </c>
      <c r="G395" s="55"/>
      <c r="H395" s="55"/>
      <c r="I395" s="55"/>
      <c r="J395" s="140"/>
      <c r="K395" s="55"/>
      <c r="L395" s="55"/>
      <c r="M395" s="55"/>
      <c r="N395" s="55"/>
      <c r="O395" s="55"/>
      <c r="P395" s="55"/>
      <c r="Q395" s="55"/>
      <c r="R395" s="55"/>
      <c r="S395" s="55"/>
      <c r="T395" s="55"/>
      <c r="U395" s="55"/>
      <c r="V395" s="71"/>
      <c r="W395" s="55"/>
      <c r="X395" s="55"/>
      <c r="Y395" s="55"/>
      <c r="Z395" s="55"/>
      <c r="AA395" s="55"/>
      <c r="AB395" s="55"/>
    </row>
    <row r="396" spans="1:28" x14ac:dyDescent="0.25">
      <c r="A396" s="64" t="s">
        <v>129</v>
      </c>
      <c r="G396" s="55">
        <v>34.991999999999997</v>
      </c>
      <c r="H396" s="122"/>
      <c r="I396" s="122"/>
      <c r="J396" s="313"/>
      <c r="K396" s="55">
        <v>34.953000000000003</v>
      </c>
      <c r="L396" s="55">
        <v>34.973999999999997</v>
      </c>
      <c r="M396" s="55">
        <f>L396+M405</f>
        <v>3.4999999999996589E-2</v>
      </c>
      <c r="N396" s="55">
        <v>0</v>
      </c>
      <c r="O396" s="55"/>
      <c r="P396" s="55"/>
      <c r="Q396" s="55"/>
      <c r="R396" s="55">
        <f>N396+R405</f>
        <v>0</v>
      </c>
      <c r="S396" s="55">
        <f t="shared" ref="S396:S400" si="336">R396+S405</f>
        <v>0</v>
      </c>
      <c r="T396" s="55">
        <f t="shared" ref="T396:U396" si="337">S396+T405</f>
        <v>0</v>
      </c>
      <c r="U396" s="55">
        <f t="shared" si="337"/>
        <v>0</v>
      </c>
      <c r="V396" s="71"/>
      <c r="W396" s="55">
        <f>U396+W405</f>
        <v>0</v>
      </c>
      <c r="X396" s="55">
        <f>W396+X405</f>
        <v>0</v>
      </c>
      <c r="Y396" s="55">
        <f t="shared" ref="Y396:AA396" si="338">X396+Y405</f>
        <v>0</v>
      </c>
      <c r="Z396" s="55">
        <f t="shared" si="338"/>
        <v>0</v>
      </c>
      <c r="AA396" s="55">
        <f t="shared" si="338"/>
        <v>0</v>
      </c>
      <c r="AB396" s="55"/>
    </row>
    <row r="397" spans="1:28" x14ac:dyDescent="0.25">
      <c r="A397" s="64" t="s">
        <v>130</v>
      </c>
      <c r="G397" s="55">
        <v>4.6520000000000001</v>
      </c>
      <c r="H397" s="122"/>
      <c r="I397" s="122"/>
      <c r="J397" s="313"/>
      <c r="K397" s="55">
        <v>4.6520000000000001</v>
      </c>
      <c r="L397" s="55">
        <v>4.6520000000000001</v>
      </c>
      <c r="M397" s="55">
        <f t="shared" ref="M397:N401" si="339">L397+M406</f>
        <v>4.6520000000000001</v>
      </c>
      <c r="N397" s="55">
        <f t="shared" si="339"/>
        <v>4.6520000000000001</v>
      </c>
      <c r="O397" s="55"/>
      <c r="P397" s="55"/>
      <c r="Q397" s="55"/>
      <c r="R397" s="55">
        <f t="shared" ref="R397:R400" si="340">N397+R406</f>
        <v>4.6520000000000001</v>
      </c>
      <c r="S397" s="55">
        <f t="shared" si="336"/>
        <v>4.6520000000000001</v>
      </c>
      <c r="T397" s="55">
        <f t="shared" ref="T397:U400" si="341">S397+T406</f>
        <v>4.6520000000000001</v>
      </c>
      <c r="U397" s="55">
        <f t="shared" si="341"/>
        <v>4.6520000000000001</v>
      </c>
      <c r="V397" s="71"/>
      <c r="W397" s="55">
        <f t="shared" ref="W397:W401" si="342">U397+W406</f>
        <v>4.6520000000000001</v>
      </c>
      <c r="X397" s="55">
        <f t="shared" ref="X397:AA397" si="343">W397+X406</f>
        <v>4.6520000000000001</v>
      </c>
      <c r="Y397" s="55">
        <f t="shared" si="343"/>
        <v>4.6520000000000001</v>
      </c>
      <c r="Z397" s="55">
        <f t="shared" si="343"/>
        <v>4.6520000000000001</v>
      </c>
      <c r="AA397" s="55">
        <f t="shared" si="343"/>
        <v>4.6520000000000001</v>
      </c>
      <c r="AB397" s="55"/>
    </row>
    <row r="398" spans="1:28" x14ac:dyDescent="0.25">
      <c r="A398" s="64" t="s">
        <v>131</v>
      </c>
      <c r="G398" s="55">
        <v>49.475999999999999</v>
      </c>
      <c r="H398" s="122"/>
      <c r="I398" s="122"/>
      <c r="J398" s="313"/>
      <c r="K398" s="55">
        <v>49.286000000000001</v>
      </c>
      <c r="L398" s="55">
        <v>49.387</v>
      </c>
      <c r="M398" s="55">
        <f t="shared" si="339"/>
        <v>49.387</v>
      </c>
      <c r="N398" s="55">
        <f t="shared" si="339"/>
        <v>49.387</v>
      </c>
      <c r="O398" s="55"/>
      <c r="P398" s="55"/>
      <c r="Q398" s="55"/>
      <c r="R398" s="601">
        <f t="shared" si="340"/>
        <v>49.387</v>
      </c>
      <c r="S398" s="55">
        <f t="shared" si="336"/>
        <v>49.387</v>
      </c>
      <c r="T398" s="55">
        <f t="shared" si="341"/>
        <v>49.387</v>
      </c>
      <c r="U398" s="55">
        <f t="shared" si="341"/>
        <v>49.387</v>
      </c>
      <c r="V398" s="71"/>
      <c r="W398" s="55">
        <f t="shared" si="342"/>
        <v>49.387</v>
      </c>
      <c r="X398" s="55">
        <f t="shared" ref="X398:AA398" si="344">W398+X407</f>
        <v>49.387</v>
      </c>
      <c r="Y398" s="55">
        <f t="shared" si="344"/>
        <v>49.387</v>
      </c>
      <c r="Z398" s="55">
        <f t="shared" si="344"/>
        <v>49.387</v>
      </c>
      <c r="AA398" s="55">
        <f t="shared" si="344"/>
        <v>49.387</v>
      </c>
      <c r="AB398" s="55"/>
    </row>
    <row r="399" spans="1:28" x14ac:dyDescent="0.25">
      <c r="A399" s="369" t="s">
        <v>137</v>
      </c>
      <c r="G399" s="55">
        <v>129.62100000000001</v>
      </c>
      <c r="H399" s="122"/>
      <c r="I399" s="122"/>
      <c r="J399" s="313"/>
      <c r="K399" s="55">
        <v>129.61000000000001</v>
      </c>
      <c r="L399" s="55">
        <v>129.72800000000001</v>
      </c>
      <c r="M399" s="55">
        <f t="shared" si="339"/>
        <v>129.72800000000001</v>
      </c>
      <c r="N399" s="55">
        <f t="shared" si="339"/>
        <v>129.72800000000001</v>
      </c>
      <c r="O399" s="55"/>
      <c r="P399" s="55"/>
      <c r="Q399" s="55"/>
      <c r="R399" s="55">
        <f>N399+R408-0.4</f>
        <v>129.328</v>
      </c>
      <c r="S399" s="55">
        <f t="shared" si="336"/>
        <v>129.328</v>
      </c>
      <c r="T399" s="55">
        <f t="shared" si="341"/>
        <v>129.328</v>
      </c>
      <c r="U399" s="55">
        <f t="shared" si="341"/>
        <v>129.328</v>
      </c>
      <c r="V399" s="71"/>
      <c r="W399" s="55">
        <f t="shared" si="342"/>
        <v>129.328</v>
      </c>
      <c r="X399" s="55">
        <f t="shared" ref="X399:AA399" si="345">W399+X408</f>
        <v>129.328</v>
      </c>
      <c r="Y399" s="55">
        <f t="shared" si="345"/>
        <v>129.328</v>
      </c>
      <c r="Z399" s="55">
        <f t="shared" si="345"/>
        <v>129.328</v>
      </c>
      <c r="AA399" s="55">
        <f t="shared" si="345"/>
        <v>129.328</v>
      </c>
      <c r="AB399" s="55"/>
    </row>
    <row r="400" spans="1:28" x14ac:dyDescent="0.25">
      <c r="A400" s="64" t="s">
        <v>133</v>
      </c>
      <c r="G400" s="71">
        <v>243.53800000000001</v>
      </c>
      <c r="H400" s="260"/>
      <c r="I400" s="260"/>
      <c r="J400" s="314"/>
      <c r="K400" s="71">
        <v>242.38399999999999</v>
      </c>
      <c r="L400" s="71">
        <v>242.999</v>
      </c>
      <c r="M400" s="71">
        <f>L400+M409-1.469</f>
        <v>241.53</v>
      </c>
      <c r="N400" s="71">
        <f>M400+N409-1.593</f>
        <v>239.93700000000001</v>
      </c>
      <c r="O400" s="71"/>
      <c r="P400" s="71"/>
      <c r="Q400" s="71"/>
      <c r="R400" s="55">
        <f t="shared" si="340"/>
        <v>239.93700000000001</v>
      </c>
      <c r="S400" s="55">
        <f t="shared" si="336"/>
        <v>239.93700000000001</v>
      </c>
      <c r="T400" s="55">
        <f t="shared" si="341"/>
        <v>239.93700000000001</v>
      </c>
      <c r="U400" s="55">
        <f t="shared" si="341"/>
        <v>239.93700000000001</v>
      </c>
      <c r="V400" s="71"/>
      <c r="W400" s="55">
        <f t="shared" si="342"/>
        <v>239.93700000000001</v>
      </c>
      <c r="X400" s="55">
        <f t="shared" ref="X400:AA400" si="346">W400+X409</f>
        <v>239.93700000000001</v>
      </c>
      <c r="Y400" s="55">
        <f t="shared" si="346"/>
        <v>239.93700000000001</v>
      </c>
      <c r="Z400" s="55">
        <f t="shared" si="346"/>
        <v>239.93700000000001</v>
      </c>
      <c r="AA400" s="55">
        <f t="shared" si="346"/>
        <v>239.93700000000001</v>
      </c>
      <c r="AB400" s="71"/>
    </row>
    <row r="401" spans="1:30" x14ac:dyDescent="0.25">
      <c r="A401" s="64" t="s">
        <v>260</v>
      </c>
      <c r="G401" s="62">
        <v>0</v>
      </c>
      <c r="H401" s="268"/>
      <c r="I401" s="268"/>
      <c r="J401" s="315"/>
      <c r="K401" s="62">
        <v>0</v>
      </c>
      <c r="L401" s="62">
        <v>0</v>
      </c>
      <c r="M401" s="62">
        <f t="shared" si="339"/>
        <v>0</v>
      </c>
      <c r="N401" s="62">
        <f t="shared" si="339"/>
        <v>0</v>
      </c>
      <c r="O401" s="62"/>
      <c r="P401" s="62"/>
      <c r="Q401" s="71"/>
      <c r="R401" s="62">
        <f>N401+R410+R388+R385</f>
        <v>0</v>
      </c>
      <c r="S401" s="62">
        <f>R401+S410+S388+S385</f>
        <v>0</v>
      </c>
      <c r="T401" s="62">
        <f t="shared" ref="T401:U401" si="347">S401+T410+T388+T385</f>
        <v>0</v>
      </c>
      <c r="U401" s="62">
        <f t="shared" si="347"/>
        <v>0</v>
      </c>
      <c r="V401" s="71"/>
      <c r="W401" s="62">
        <f t="shared" si="342"/>
        <v>0</v>
      </c>
      <c r="X401" s="62">
        <f>W401+X410+X388+X385</f>
        <v>0</v>
      </c>
      <c r="Y401" s="62">
        <f t="shared" ref="Y401:AA401" si="348">X401+Y410+Y388+Y385</f>
        <v>0</v>
      </c>
      <c r="Z401" s="62">
        <f t="shared" si="348"/>
        <v>0</v>
      </c>
      <c r="AA401" s="62">
        <f t="shared" si="348"/>
        <v>0</v>
      </c>
      <c r="AB401" s="71"/>
    </row>
    <row r="402" spans="1:30" x14ac:dyDescent="0.25">
      <c r="A402" s="10" t="s">
        <v>252</v>
      </c>
      <c r="G402" s="63">
        <f t="shared" ref="G402" si="349">SUM(G396:G401)</f>
        <v>462.279</v>
      </c>
      <c r="H402" s="63"/>
      <c r="I402" s="63"/>
      <c r="J402" s="141"/>
      <c r="K402" s="63">
        <f>SUM(K396:K401)</f>
        <v>460.88499999999999</v>
      </c>
      <c r="L402" s="63">
        <f>SUM(L396:L401)</f>
        <v>461.74</v>
      </c>
      <c r="M402" s="63">
        <f>SUM(M396:M401)</f>
        <v>425.33199999999999</v>
      </c>
      <c r="N402" s="63">
        <f>SUM(N396:N401)</f>
        <v>423.70400000000001</v>
      </c>
      <c r="O402" s="63">
        <v>425.26400000000001</v>
      </c>
      <c r="P402" s="63">
        <v>423.27800000000002</v>
      </c>
      <c r="Q402" s="55"/>
      <c r="R402" s="63">
        <f>SUM(R396:R401)</f>
        <v>423.30400000000003</v>
      </c>
      <c r="S402" s="63">
        <f t="shared" ref="S402:U402" si="350">SUM(S396:S401)</f>
        <v>423.30400000000003</v>
      </c>
      <c r="T402" s="63">
        <f t="shared" si="350"/>
        <v>423.30400000000003</v>
      </c>
      <c r="U402" s="63">
        <f t="shared" si="350"/>
        <v>423.30400000000003</v>
      </c>
      <c r="V402" s="71"/>
      <c r="W402" s="63">
        <f>SUM(W396:W401)</f>
        <v>423.30400000000003</v>
      </c>
      <c r="X402" s="63">
        <f t="shared" ref="X402" si="351">SUM(X396:X401)</f>
        <v>423.30400000000003</v>
      </c>
      <c r="Y402" s="63">
        <f t="shared" ref="Y402" si="352">SUM(Y396:Y401)</f>
        <v>423.30400000000003</v>
      </c>
      <c r="Z402" s="63">
        <f t="shared" ref="Z402" si="353">SUM(Z396:Z401)</f>
        <v>423.30400000000003</v>
      </c>
      <c r="AA402" s="63">
        <f t="shared" ref="AA402" si="354">SUM(AA396:AA401)</f>
        <v>423.30400000000003</v>
      </c>
      <c r="AB402" s="55"/>
    </row>
    <row r="403" spans="1:30" x14ac:dyDescent="0.25">
      <c r="A403" s="10"/>
      <c r="G403" s="55"/>
      <c r="H403" s="55"/>
      <c r="I403" s="55"/>
      <c r="J403" s="140"/>
      <c r="K403" s="122"/>
      <c r="L403" s="119"/>
      <c r="M403" s="122"/>
      <c r="N403" s="122"/>
      <c r="O403" s="122"/>
      <c r="P403" s="122"/>
      <c r="Q403" s="55"/>
      <c r="R403" s="55"/>
      <c r="S403" s="55"/>
      <c r="T403" s="55"/>
      <c r="U403" s="55"/>
      <c r="V403" s="71"/>
      <c r="W403" s="55"/>
      <c r="X403" s="55"/>
      <c r="Y403" s="55"/>
      <c r="Z403" s="55"/>
      <c r="AA403" s="55"/>
      <c r="AB403" s="55"/>
    </row>
    <row r="404" spans="1:30" x14ac:dyDescent="0.25">
      <c r="A404" s="10" t="s">
        <v>258</v>
      </c>
      <c r="G404" s="55"/>
      <c r="H404" s="55"/>
      <c r="I404" s="55"/>
      <c r="J404" s="140"/>
      <c r="K404" s="55"/>
      <c r="L404" s="55"/>
      <c r="M404" s="55"/>
      <c r="N404" s="55"/>
      <c r="O404" s="55"/>
      <c r="P404" s="55"/>
      <c r="Q404" s="55"/>
      <c r="R404" s="55"/>
      <c r="S404" s="55"/>
      <c r="T404" s="55"/>
      <c r="U404" s="55"/>
      <c r="V404" s="71"/>
      <c r="W404" s="55"/>
      <c r="X404" s="55"/>
      <c r="Y404" s="55"/>
      <c r="Z404" s="55"/>
      <c r="AA404" s="55"/>
      <c r="AB404" s="55"/>
    </row>
    <row r="405" spans="1:30" x14ac:dyDescent="0.25">
      <c r="A405" s="64" t="s">
        <v>129</v>
      </c>
      <c r="G405" s="55"/>
      <c r="H405" s="122"/>
      <c r="I405" s="122"/>
      <c r="J405" s="313"/>
      <c r="K405" s="122"/>
      <c r="L405" s="55">
        <v>0</v>
      </c>
      <c r="M405" s="55">
        <v>-34.939</v>
      </c>
      <c r="N405" s="55">
        <v>0</v>
      </c>
      <c r="O405" s="55">
        <v>0</v>
      </c>
      <c r="P405" s="55">
        <v>0</v>
      </c>
      <c r="Q405" s="55"/>
      <c r="R405" s="347">
        <v>0</v>
      </c>
      <c r="S405" s="347">
        <v>0</v>
      </c>
      <c r="T405" s="347">
        <v>0</v>
      </c>
      <c r="U405" s="347">
        <v>0</v>
      </c>
      <c r="V405" s="347"/>
      <c r="W405" s="347">
        <v>0</v>
      </c>
      <c r="X405" s="347">
        <v>0</v>
      </c>
      <c r="Y405" s="347">
        <v>0</v>
      </c>
      <c r="Z405" s="347">
        <v>0</v>
      </c>
      <c r="AA405" s="347">
        <v>0</v>
      </c>
      <c r="AB405" s="273"/>
      <c r="AC405" s="86"/>
      <c r="AD405" s="86"/>
    </row>
    <row r="406" spans="1:30" x14ac:dyDescent="0.25">
      <c r="A406" s="64" t="s">
        <v>130</v>
      </c>
      <c r="G406" s="55"/>
      <c r="H406" s="122"/>
      <c r="I406" s="122"/>
      <c r="J406" s="313"/>
      <c r="K406" s="122"/>
      <c r="L406" s="55">
        <v>0</v>
      </c>
      <c r="M406" s="140">
        <v>0</v>
      </c>
      <c r="N406" s="140">
        <v>0</v>
      </c>
      <c r="O406" s="140">
        <v>0</v>
      </c>
      <c r="P406" s="140">
        <v>0</v>
      </c>
      <c r="Q406" s="55"/>
      <c r="R406" s="273">
        <v>0</v>
      </c>
      <c r="S406" s="273">
        <v>0</v>
      </c>
      <c r="T406" s="273">
        <v>0</v>
      </c>
      <c r="U406" s="273">
        <v>0</v>
      </c>
      <c r="V406" s="55"/>
      <c r="W406" s="273">
        <v>0</v>
      </c>
      <c r="X406" s="273">
        <v>0</v>
      </c>
      <c r="Y406" s="273">
        <v>0</v>
      </c>
      <c r="Z406" s="273">
        <v>0</v>
      </c>
      <c r="AA406" s="273">
        <v>0</v>
      </c>
      <c r="AB406" s="273"/>
      <c r="AC406" s="86"/>
      <c r="AD406" s="86"/>
    </row>
    <row r="407" spans="1:30" x14ac:dyDescent="0.25">
      <c r="A407" s="64" t="s">
        <v>131</v>
      </c>
      <c r="G407" s="55"/>
      <c r="H407" s="122"/>
      <c r="I407" s="122"/>
      <c r="J407" s="313"/>
      <c r="K407" s="122"/>
      <c r="L407" s="55">
        <v>0</v>
      </c>
      <c r="M407" s="140">
        <v>0</v>
      </c>
      <c r="N407" s="140">
        <v>0</v>
      </c>
      <c r="O407" s="140">
        <v>0</v>
      </c>
      <c r="P407" s="140">
        <v>0</v>
      </c>
      <c r="Q407" s="55"/>
      <c r="R407" s="273">
        <v>0</v>
      </c>
      <c r="S407" s="273">
        <v>0</v>
      </c>
      <c r="T407" s="273">
        <v>0</v>
      </c>
      <c r="U407" s="273">
        <v>0</v>
      </c>
      <c r="V407" s="55"/>
      <c r="W407" s="273">
        <v>0</v>
      </c>
      <c r="X407" s="273">
        <v>0</v>
      </c>
      <c r="Y407" s="273">
        <v>0</v>
      </c>
      <c r="Z407" s="273">
        <v>0</v>
      </c>
      <c r="AA407" s="273">
        <v>0</v>
      </c>
      <c r="AB407" s="273"/>
      <c r="AC407" s="86"/>
      <c r="AD407" s="86"/>
    </row>
    <row r="408" spans="1:30" x14ac:dyDescent="0.25">
      <c r="A408" s="369" t="s">
        <v>137</v>
      </c>
      <c r="G408" s="55"/>
      <c r="H408" s="122"/>
      <c r="I408" s="122"/>
      <c r="J408" s="313"/>
      <c r="K408" s="122"/>
      <c r="L408" s="55">
        <v>0</v>
      </c>
      <c r="M408" s="140">
        <v>0</v>
      </c>
      <c r="N408" s="140">
        <v>0</v>
      </c>
      <c r="O408" s="140">
        <v>0</v>
      </c>
      <c r="P408" s="140">
        <v>0</v>
      </c>
      <c r="Q408" s="55"/>
      <c r="R408" s="273">
        <v>0</v>
      </c>
      <c r="S408" s="273">
        <v>0</v>
      </c>
      <c r="T408" s="273">
        <v>0</v>
      </c>
      <c r="U408" s="273">
        <v>0</v>
      </c>
      <c r="V408" s="55"/>
      <c r="W408" s="273">
        <v>0</v>
      </c>
      <c r="X408" s="273">
        <v>0</v>
      </c>
      <c r="Y408" s="273">
        <v>0</v>
      </c>
      <c r="Z408" s="273">
        <v>0</v>
      </c>
      <c r="AA408" s="273">
        <v>0</v>
      </c>
      <c r="AB408" s="273"/>
      <c r="AC408" s="86"/>
      <c r="AD408" s="86"/>
    </row>
    <row r="409" spans="1:30" x14ac:dyDescent="0.25">
      <c r="A409" s="64" t="s">
        <v>133</v>
      </c>
      <c r="G409" s="71"/>
      <c r="H409" s="260"/>
      <c r="I409" s="260"/>
      <c r="J409" s="314"/>
      <c r="K409" s="260"/>
      <c r="L409" s="71">
        <v>0</v>
      </c>
      <c r="M409" s="267">
        <v>0</v>
      </c>
      <c r="N409" s="267">
        <v>0</v>
      </c>
      <c r="O409" s="267">
        <v>0</v>
      </c>
      <c r="P409" s="267">
        <v>0</v>
      </c>
      <c r="Q409" s="55"/>
      <c r="R409" s="316">
        <v>0</v>
      </c>
      <c r="S409" s="316">
        <v>0</v>
      </c>
      <c r="T409" s="316">
        <v>0</v>
      </c>
      <c r="U409" s="316">
        <v>0</v>
      </c>
      <c r="V409" s="55"/>
      <c r="W409" s="273">
        <v>0</v>
      </c>
      <c r="X409" s="273">
        <v>0</v>
      </c>
      <c r="Y409" s="273">
        <v>0</v>
      </c>
      <c r="Z409" s="273">
        <v>0</v>
      </c>
      <c r="AA409" s="273">
        <v>0</v>
      </c>
      <c r="AB409" s="273"/>
      <c r="AC409" s="86"/>
      <c r="AD409" s="86"/>
    </row>
    <row r="410" spans="1:30" x14ac:dyDescent="0.25">
      <c r="A410" s="64" t="s">
        <v>260</v>
      </c>
      <c r="G410" s="62"/>
      <c r="H410" s="268"/>
      <c r="I410" s="268"/>
      <c r="J410" s="315"/>
      <c r="K410" s="268"/>
      <c r="L410" s="62">
        <v>0</v>
      </c>
      <c r="M410" s="143">
        <v>0</v>
      </c>
      <c r="N410" s="143">
        <v>0</v>
      </c>
      <c r="O410" s="143">
        <v>0</v>
      </c>
      <c r="P410" s="143">
        <v>0</v>
      </c>
      <c r="Q410" s="55"/>
      <c r="R410" s="93">
        <v>0</v>
      </c>
      <c r="S410" s="93">
        <v>0</v>
      </c>
      <c r="T410" s="93">
        <v>0</v>
      </c>
      <c r="U410" s="93">
        <v>0</v>
      </c>
      <c r="V410" s="55"/>
      <c r="W410" s="93">
        <v>0</v>
      </c>
      <c r="X410" s="93">
        <v>0</v>
      </c>
      <c r="Y410" s="93">
        <v>0</v>
      </c>
      <c r="Z410" s="93">
        <v>0</v>
      </c>
      <c r="AA410" s="93">
        <v>0</v>
      </c>
      <c r="AB410" s="273"/>
      <c r="AC410" s="86"/>
      <c r="AD410" s="86"/>
    </row>
    <row r="411" spans="1:30" s="33" customFormat="1" x14ac:dyDescent="0.25">
      <c r="A411" s="10" t="s">
        <v>259</v>
      </c>
      <c r="G411" s="63"/>
      <c r="H411" s="63"/>
      <c r="I411" s="63"/>
      <c r="J411" s="141"/>
      <c r="K411" s="63"/>
      <c r="L411" s="63">
        <f t="shared" ref="L411" si="355">SUM(L405:L410)</f>
        <v>0</v>
      </c>
      <c r="M411" s="63">
        <f t="shared" ref="M411:T411" si="356">SUM(M405:M410)</f>
        <v>-34.939</v>
      </c>
      <c r="N411" s="63">
        <f t="shared" si="356"/>
        <v>0</v>
      </c>
      <c r="O411" s="63">
        <f t="shared" si="356"/>
        <v>0</v>
      </c>
      <c r="P411" s="63">
        <f t="shared" si="356"/>
        <v>0</v>
      </c>
      <c r="Q411" s="63"/>
      <c r="R411" s="63">
        <f t="shared" si="356"/>
        <v>0</v>
      </c>
      <c r="S411" s="63">
        <f t="shared" si="356"/>
        <v>0</v>
      </c>
      <c r="T411" s="63">
        <f t="shared" si="356"/>
        <v>0</v>
      </c>
      <c r="U411" s="63">
        <f>SUM(U405:U410)</f>
        <v>0</v>
      </c>
      <c r="V411" s="63"/>
      <c r="W411" s="63">
        <f>SUM(W405:W410)</f>
        <v>0</v>
      </c>
      <c r="X411" s="63">
        <f t="shared" ref="X411:AA411" si="357">SUM(X405:X410)</f>
        <v>0</v>
      </c>
      <c r="Y411" s="63">
        <f t="shared" si="357"/>
        <v>0</v>
      </c>
      <c r="Z411" s="63">
        <f t="shared" si="357"/>
        <v>0</v>
      </c>
      <c r="AA411" s="63">
        <f t="shared" si="357"/>
        <v>0</v>
      </c>
      <c r="AB411" s="63"/>
    </row>
    <row r="412" spans="1:30" x14ac:dyDescent="0.25">
      <c r="A412" s="10"/>
      <c r="G412" s="55"/>
      <c r="H412" s="55"/>
      <c r="I412" s="55"/>
      <c r="J412" s="140"/>
      <c r="K412" s="260"/>
      <c r="L412" s="55"/>
      <c r="M412" s="55"/>
      <c r="N412" s="55"/>
      <c r="O412" s="55"/>
      <c r="P412" s="55"/>
      <c r="Q412" s="55"/>
      <c r="R412" s="55"/>
      <c r="S412" s="55"/>
      <c r="T412" s="55"/>
      <c r="U412" s="55"/>
      <c r="V412" s="55"/>
      <c r="W412" s="55"/>
      <c r="X412" s="55"/>
      <c r="Y412" s="55"/>
      <c r="Z412" s="55"/>
      <c r="AA412" s="55"/>
      <c r="AB412" s="55"/>
    </row>
    <row r="413" spans="1:30" x14ac:dyDescent="0.25">
      <c r="A413" s="10" t="s">
        <v>158</v>
      </c>
      <c r="G413" s="55"/>
      <c r="H413" s="55"/>
      <c r="I413" s="55"/>
      <c r="J413" s="140"/>
      <c r="K413" s="55"/>
      <c r="L413" s="55"/>
      <c r="M413" s="55"/>
      <c r="N413" s="55"/>
      <c r="O413" s="55"/>
      <c r="P413" s="55"/>
      <c r="Q413" s="55"/>
      <c r="R413" s="55"/>
      <c r="S413" s="55"/>
      <c r="T413" s="55"/>
      <c r="U413" s="55"/>
      <c r="V413" s="55"/>
      <c r="W413" s="55"/>
      <c r="X413" s="55"/>
      <c r="Y413" s="55"/>
      <c r="Z413" s="55"/>
      <c r="AA413" s="55"/>
      <c r="AB413" s="55"/>
    </row>
    <row r="414" spans="1:30" x14ac:dyDescent="0.25">
      <c r="A414" s="64" t="s">
        <v>288</v>
      </c>
      <c r="G414" s="55">
        <f>G422+G430</f>
        <v>6.5339999999999998</v>
      </c>
      <c r="H414" s="122"/>
      <c r="I414" s="122"/>
      <c r="J414" s="313"/>
      <c r="K414" s="55">
        <f>K422+K430</f>
        <v>6.0840000000000005</v>
      </c>
      <c r="L414" s="122"/>
      <c r="M414" s="55">
        <f t="shared" ref="M414:N418" si="358">M422+M430</f>
        <v>5.86</v>
      </c>
      <c r="N414" s="55">
        <f t="shared" si="358"/>
        <v>5.6369999999999996</v>
      </c>
      <c r="O414" s="55">
        <v>5.6929999999999996</v>
      </c>
      <c r="P414" s="55">
        <v>5.4450000000000003</v>
      </c>
      <c r="Q414" s="55"/>
      <c r="R414" s="55"/>
      <c r="S414" s="55"/>
      <c r="T414" s="55"/>
      <c r="U414" s="55"/>
      <c r="V414" s="55"/>
      <c r="W414" s="55"/>
      <c r="X414" s="55"/>
      <c r="Y414" s="55"/>
      <c r="Z414" s="55"/>
      <c r="AA414" s="55"/>
      <c r="AB414" s="55"/>
    </row>
    <row r="415" spans="1:30" x14ac:dyDescent="0.25">
      <c r="A415" s="64" t="s">
        <v>289</v>
      </c>
      <c r="G415" s="55">
        <f>G423+G431</f>
        <v>4.9039999999999999</v>
      </c>
      <c r="H415" s="122"/>
      <c r="I415" s="122"/>
      <c r="J415" s="313"/>
      <c r="K415" s="55">
        <f>K423+K431</f>
        <v>4.347999999999999</v>
      </c>
      <c r="L415" s="122"/>
      <c r="M415" s="55">
        <f t="shared" si="358"/>
        <v>4.1020000000000003</v>
      </c>
      <c r="N415" s="55">
        <f t="shared" si="358"/>
        <v>3.8999999999999995</v>
      </c>
      <c r="O415" s="55">
        <v>3.9</v>
      </c>
      <c r="P415" s="55">
        <v>3.6819999999999999</v>
      </c>
      <c r="Q415" s="55"/>
      <c r="R415" s="55"/>
      <c r="S415" s="55"/>
      <c r="T415" s="55"/>
      <c r="U415" s="55"/>
      <c r="V415" s="55"/>
      <c r="W415" s="55"/>
      <c r="X415" s="55"/>
      <c r="Y415" s="55"/>
      <c r="Z415" s="55"/>
      <c r="AA415" s="55"/>
      <c r="AB415" s="55"/>
    </row>
    <row r="416" spans="1:30" x14ac:dyDescent="0.25">
      <c r="A416" s="64" t="s">
        <v>290</v>
      </c>
      <c r="G416" s="55">
        <f>G424+G432</f>
        <v>8.9339999999999993</v>
      </c>
      <c r="H416" s="122"/>
      <c r="I416" s="122"/>
      <c r="J416" s="313"/>
      <c r="K416" s="55">
        <f>K424+K432</f>
        <v>8.1720000000000006</v>
      </c>
      <c r="L416" s="122"/>
      <c r="M416" s="55">
        <f t="shared" si="358"/>
        <v>7.8110000000000008</v>
      </c>
      <c r="N416" s="55">
        <f t="shared" si="358"/>
        <v>7.6149999999999993</v>
      </c>
      <c r="O416" s="55">
        <v>7.4489999999999998</v>
      </c>
      <c r="P416" s="55">
        <v>7.2380000000000004</v>
      </c>
      <c r="Q416" s="55"/>
      <c r="R416" s="55"/>
      <c r="S416" s="55"/>
      <c r="T416" s="55"/>
      <c r="U416" s="55"/>
      <c r="V416" s="55"/>
      <c r="W416" s="55"/>
      <c r="X416" s="55"/>
      <c r="Y416" s="55"/>
      <c r="Z416" s="55"/>
      <c r="AA416" s="55"/>
      <c r="AB416" s="55"/>
    </row>
    <row r="417" spans="1:28" x14ac:dyDescent="0.25">
      <c r="A417" s="64" t="s">
        <v>291</v>
      </c>
      <c r="G417" s="55">
        <f>G425+G433</f>
        <v>8.9999999999999983E-2</v>
      </c>
      <c r="H417" s="122"/>
      <c r="I417" s="122"/>
      <c r="J417" s="313"/>
      <c r="K417" s="55">
        <f>K425+K433</f>
        <v>5.400000000000002E-2</v>
      </c>
      <c r="L417" s="122"/>
      <c r="M417" s="55">
        <f t="shared" si="358"/>
        <v>3.5000000000000003E-2</v>
      </c>
      <c r="N417" s="55">
        <f t="shared" si="358"/>
        <v>2.6999999999999996E-2</v>
      </c>
      <c r="O417" s="55">
        <v>0</v>
      </c>
      <c r="P417" s="55">
        <v>0</v>
      </c>
      <c r="Q417" s="55"/>
      <c r="R417" s="55"/>
      <c r="S417" s="55"/>
      <c r="T417" s="55"/>
      <c r="U417" s="55"/>
      <c r="V417" s="55"/>
      <c r="W417" s="55"/>
      <c r="X417" s="273"/>
      <c r="Y417" s="273"/>
      <c r="Z417" s="273"/>
      <c r="AA417" s="273"/>
      <c r="AB417" s="55"/>
    </row>
    <row r="418" spans="1:28" x14ac:dyDescent="0.25">
      <c r="A418" s="64" t="s">
        <v>292</v>
      </c>
      <c r="G418" s="62">
        <f>G426+G434</f>
        <v>2.9330000000000003</v>
      </c>
      <c r="H418" s="268"/>
      <c r="I418" s="268"/>
      <c r="J418" s="315"/>
      <c r="K418" s="62">
        <f>K426+K434</f>
        <v>2.8380000000000001</v>
      </c>
      <c r="L418" s="268"/>
      <c r="M418" s="62">
        <f t="shared" si="358"/>
        <v>2.8340000000000005</v>
      </c>
      <c r="N418" s="62">
        <f t="shared" si="358"/>
        <v>2.7800000000000002</v>
      </c>
      <c r="O418" s="62">
        <v>2.77</v>
      </c>
      <c r="P418" s="62">
        <v>2.6389999999999998</v>
      </c>
      <c r="Q418" s="55"/>
      <c r="R418" s="62"/>
      <c r="S418" s="62"/>
      <c r="T418" s="62"/>
      <c r="U418" s="62"/>
      <c r="V418" s="55"/>
      <c r="W418" s="62"/>
      <c r="X418" s="62"/>
      <c r="Y418" s="62"/>
      <c r="Z418" s="62"/>
      <c r="AA418" s="62"/>
      <c r="AB418" s="55"/>
    </row>
    <row r="419" spans="1:28" x14ac:dyDescent="0.25">
      <c r="A419" s="10" t="s">
        <v>158</v>
      </c>
      <c r="G419" s="63">
        <f t="shared" ref="G419" si="359">SUM(G414:G418)</f>
        <v>23.395</v>
      </c>
      <c r="H419" s="63">
        <f t="shared" ref="H419" si="360">SUM(H414:H418)</f>
        <v>0</v>
      </c>
      <c r="I419" s="63">
        <f t="shared" ref="I419" si="361">SUM(I414:I418)</f>
        <v>0</v>
      </c>
      <c r="J419" s="141">
        <f t="shared" ref="J419" si="362">SUM(J414:J418)</f>
        <v>0</v>
      </c>
      <c r="K419" s="63">
        <f>SUM(K414:K418)</f>
        <v>21.495999999999999</v>
      </c>
      <c r="L419" s="63">
        <f t="shared" ref="L419" si="363">SUM(L414:L418)</f>
        <v>0</v>
      </c>
      <c r="M419" s="63">
        <f t="shared" ref="M419:P419" si="364">SUM(M414:M418)</f>
        <v>20.641999999999999</v>
      </c>
      <c r="N419" s="63">
        <f t="shared" si="364"/>
        <v>19.959</v>
      </c>
      <c r="O419" s="63">
        <f t="shared" si="364"/>
        <v>19.812000000000001</v>
      </c>
      <c r="P419" s="63">
        <f t="shared" si="364"/>
        <v>19.004000000000001</v>
      </c>
      <c r="Q419" s="55"/>
      <c r="R419" s="63">
        <f>R427+R435</f>
        <v>18.575499999999995</v>
      </c>
      <c r="S419" s="63">
        <f t="shared" ref="S419:U419" si="365">S427+S435</f>
        <v>18.146999999999995</v>
      </c>
      <c r="T419" s="63">
        <f t="shared" si="365"/>
        <v>17.718499999999995</v>
      </c>
      <c r="U419" s="63">
        <f t="shared" si="365"/>
        <v>17.289999999999996</v>
      </c>
      <c r="V419" s="55"/>
      <c r="W419" s="63">
        <f>W427+W435</f>
        <v>17.289999999999996</v>
      </c>
      <c r="X419" s="63">
        <f t="shared" ref="X419:AA419" si="366">X427+X435</f>
        <v>15.586999999999996</v>
      </c>
      <c r="Y419" s="63">
        <f t="shared" si="366"/>
        <v>13.946999999999996</v>
      </c>
      <c r="Z419" s="63">
        <f t="shared" si="366"/>
        <v>12.357999999999997</v>
      </c>
      <c r="AA419" s="63">
        <f t="shared" si="366"/>
        <v>10.780999999999999</v>
      </c>
      <c r="AB419" s="55"/>
    </row>
    <row r="420" spans="1:28" x14ac:dyDescent="0.25">
      <c r="A420" s="28"/>
      <c r="G420" s="55"/>
      <c r="H420" s="55"/>
      <c r="I420" s="55"/>
      <c r="J420" s="140"/>
      <c r="K420" s="55"/>
      <c r="L420" s="55"/>
      <c r="M420" s="55"/>
      <c r="N420" s="55"/>
      <c r="O420" s="55"/>
      <c r="P420" s="55"/>
      <c r="Q420" s="55"/>
      <c r="R420" s="55"/>
      <c r="S420" s="55"/>
      <c r="T420" s="55"/>
      <c r="U420" s="55"/>
      <c r="V420" s="55"/>
      <c r="W420" s="55"/>
      <c r="X420" s="55"/>
      <c r="Y420" s="55"/>
      <c r="Z420" s="55"/>
      <c r="AA420" s="55"/>
      <c r="AB420" s="55"/>
    </row>
    <row r="421" spans="1:28" x14ac:dyDescent="0.25">
      <c r="A421" s="10" t="s">
        <v>294</v>
      </c>
      <c r="G421" s="55"/>
      <c r="H421" s="55"/>
      <c r="I421" s="55"/>
      <c r="J421" s="140"/>
      <c r="K421" s="55"/>
      <c r="L421" s="55"/>
      <c r="M421" s="55"/>
      <c r="N421" s="55"/>
      <c r="O421" s="55"/>
      <c r="P421" s="55"/>
      <c r="Q421" s="55"/>
      <c r="R421" s="55"/>
      <c r="S421" s="55"/>
      <c r="T421" s="55"/>
      <c r="U421" s="55"/>
      <c r="V421" s="55"/>
      <c r="W421" s="55"/>
      <c r="X421" s="55"/>
      <c r="Y421" s="55"/>
      <c r="Z421" s="55"/>
      <c r="AA421" s="55"/>
      <c r="AB421" s="55"/>
    </row>
    <row r="422" spans="1:28" x14ac:dyDescent="0.25">
      <c r="A422" s="64" t="s">
        <v>288</v>
      </c>
      <c r="G422" s="55">
        <v>9.4939999999999998</v>
      </c>
      <c r="H422" s="122"/>
      <c r="I422" s="122"/>
      <c r="J422" s="313"/>
      <c r="K422" s="55">
        <v>9.31</v>
      </c>
      <c r="L422" s="122"/>
      <c r="M422" s="122">
        <v>9.2140000000000004</v>
      </c>
      <c r="N422" s="122">
        <v>8.9939999999999998</v>
      </c>
      <c r="O422" s="122">
        <v>9.2029999999999994</v>
      </c>
      <c r="P422" s="122">
        <v>8.9369999999999994</v>
      </c>
      <c r="Q422" s="55"/>
      <c r="R422" s="273"/>
      <c r="S422" s="273"/>
      <c r="T422" s="273"/>
      <c r="U422" s="273"/>
      <c r="V422" s="55"/>
      <c r="W422" s="55"/>
      <c r="X422" s="273"/>
      <c r="Y422" s="273"/>
      <c r="Z422" s="273"/>
      <c r="AA422" s="273"/>
      <c r="AB422" s="55"/>
    </row>
    <row r="423" spans="1:28" x14ac:dyDescent="0.25">
      <c r="A423" s="64" t="s">
        <v>289</v>
      </c>
      <c r="G423" s="55">
        <v>11.398</v>
      </c>
      <c r="H423" s="122"/>
      <c r="I423" s="122"/>
      <c r="J423" s="313"/>
      <c r="K423" s="55">
        <v>11.186999999999999</v>
      </c>
      <c r="L423" s="122"/>
      <c r="M423" s="122">
        <v>11.076000000000001</v>
      </c>
      <c r="N423" s="122">
        <v>10.824</v>
      </c>
      <c r="O423" s="122">
        <v>11.063000000000001</v>
      </c>
      <c r="P423" s="122">
        <v>10.757999999999999</v>
      </c>
      <c r="Q423" s="55"/>
      <c r="R423" s="273"/>
      <c r="S423" s="273"/>
      <c r="T423" s="273"/>
      <c r="U423" s="273"/>
      <c r="V423" s="55"/>
      <c r="W423" s="55"/>
      <c r="X423" s="273"/>
      <c r="Y423" s="273"/>
      <c r="Z423" s="273"/>
      <c r="AA423" s="273"/>
      <c r="AB423" s="55"/>
    </row>
    <row r="424" spans="1:28" x14ac:dyDescent="0.25">
      <c r="A424" s="64" t="s">
        <v>290</v>
      </c>
      <c r="G424" s="55">
        <v>14.795999999999999</v>
      </c>
      <c r="H424" s="122"/>
      <c r="I424" s="122"/>
      <c r="J424" s="313"/>
      <c r="K424" s="55">
        <v>14.754</v>
      </c>
      <c r="L424" s="122"/>
      <c r="M424" s="122">
        <v>14.762</v>
      </c>
      <c r="N424" s="122">
        <v>14.731999999999999</v>
      </c>
      <c r="O424" s="122">
        <v>14.775</v>
      </c>
      <c r="P424" s="122">
        <v>14.715</v>
      </c>
      <c r="Q424" s="55"/>
      <c r="R424" s="273"/>
      <c r="S424" s="273"/>
      <c r="T424" s="273"/>
      <c r="U424" s="273"/>
      <c r="V424" s="55"/>
      <c r="W424" s="55"/>
      <c r="X424" s="273"/>
      <c r="Y424" s="273"/>
      <c r="Z424" s="273"/>
      <c r="AA424" s="273"/>
      <c r="AB424" s="55"/>
    </row>
    <row r="425" spans="1:28" x14ac:dyDescent="0.25">
      <c r="A425" s="64" t="s">
        <v>291</v>
      </c>
      <c r="G425" s="55">
        <v>0.20699999999999999</v>
      </c>
      <c r="H425" s="122"/>
      <c r="I425" s="122"/>
      <c r="J425" s="313"/>
      <c r="K425" s="55">
        <v>0.20100000000000001</v>
      </c>
      <c r="L425" s="122"/>
      <c r="M425" s="122">
        <v>0.19800000000000001</v>
      </c>
      <c r="N425" s="122">
        <v>0.191</v>
      </c>
      <c r="O425" s="122">
        <v>0</v>
      </c>
      <c r="P425" s="122">
        <v>0</v>
      </c>
      <c r="Q425" s="55"/>
      <c r="R425" s="273"/>
      <c r="S425" s="273"/>
      <c r="T425" s="273"/>
      <c r="U425" s="273"/>
      <c r="V425" s="55"/>
      <c r="W425" s="55"/>
      <c r="X425" s="273"/>
      <c r="Y425" s="273"/>
      <c r="Z425" s="273"/>
      <c r="AA425" s="273"/>
      <c r="AB425" s="55"/>
    </row>
    <row r="426" spans="1:28" x14ac:dyDescent="0.25">
      <c r="A426" s="64" t="s">
        <v>292</v>
      </c>
      <c r="G426" s="62">
        <v>4.5330000000000004</v>
      </c>
      <c r="H426" s="268"/>
      <c r="I426" s="268"/>
      <c r="J426" s="315"/>
      <c r="K426" s="62">
        <v>4.6139999999999999</v>
      </c>
      <c r="L426" s="268"/>
      <c r="M426" s="268">
        <v>4.7990000000000004</v>
      </c>
      <c r="N426" s="268">
        <v>4.8150000000000004</v>
      </c>
      <c r="O426" s="268">
        <v>5.0739999999999998</v>
      </c>
      <c r="P426" s="268">
        <v>4.9429999999999996</v>
      </c>
      <c r="Q426" s="55"/>
      <c r="R426" s="93"/>
      <c r="S426" s="93"/>
      <c r="T426" s="93"/>
      <c r="U426" s="93"/>
      <c r="V426" s="55"/>
      <c r="W426" s="62"/>
      <c r="X426" s="93"/>
      <c r="Y426" s="93"/>
      <c r="Z426" s="93"/>
      <c r="AA426" s="93"/>
      <c r="AB426" s="55"/>
    </row>
    <row r="427" spans="1:28" s="33" customFormat="1" x14ac:dyDescent="0.25">
      <c r="A427" s="10" t="s">
        <v>294</v>
      </c>
      <c r="G427" s="63">
        <f t="shared" ref="G427:J427" si="367">SUM(G422:G426)</f>
        <v>40.428000000000004</v>
      </c>
      <c r="H427" s="63">
        <f t="shared" si="367"/>
        <v>0</v>
      </c>
      <c r="I427" s="63">
        <f t="shared" si="367"/>
        <v>0</v>
      </c>
      <c r="J427" s="141">
        <f t="shared" si="367"/>
        <v>0</v>
      </c>
      <c r="K427" s="63">
        <f>SUM(K422:K426)</f>
        <v>40.065999999999995</v>
      </c>
      <c r="L427" s="312">
        <f t="shared" ref="L427:P427" si="368">SUM(L422:L426)</f>
        <v>0</v>
      </c>
      <c r="M427" s="312">
        <f t="shared" si="368"/>
        <v>40.048999999999999</v>
      </c>
      <c r="N427" s="312">
        <f t="shared" si="368"/>
        <v>39.555999999999997</v>
      </c>
      <c r="O427" s="312">
        <f t="shared" si="368"/>
        <v>40.114999999999995</v>
      </c>
      <c r="P427" s="312">
        <f t="shared" si="368"/>
        <v>39.352999999999994</v>
      </c>
      <c r="Q427" s="63"/>
      <c r="R427" s="141">
        <f>P427</f>
        <v>39.352999999999994</v>
      </c>
      <c r="S427" s="141">
        <f>R427</f>
        <v>39.352999999999994</v>
      </c>
      <c r="T427" s="141">
        <f t="shared" ref="T427:U427" si="369">S427</f>
        <v>39.352999999999994</v>
      </c>
      <c r="U427" s="141">
        <f t="shared" si="369"/>
        <v>39.352999999999994</v>
      </c>
      <c r="V427" s="317"/>
      <c r="W427" s="141">
        <f>U427</f>
        <v>39.352999999999994</v>
      </c>
      <c r="X427" s="141">
        <f>W427</f>
        <v>39.352999999999994</v>
      </c>
      <c r="Y427" s="141">
        <f t="shared" ref="Y427:AA427" si="370">X427</f>
        <v>39.352999999999994</v>
      </c>
      <c r="Z427" s="141">
        <f t="shared" si="370"/>
        <v>39.352999999999994</v>
      </c>
      <c r="AA427" s="141">
        <f t="shared" si="370"/>
        <v>39.352999999999994</v>
      </c>
      <c r="AB427" s="63"/>
    </row>
    <row r="428" spans="1:28" x14ac:dyDescent="0.25">
      <c r="A428" s="28"/>
      <c r="G428" s="55"/>
      <c r="H428" s="55"/>
      <c r="I428" s="55"/>
      <c r="J428" s="140"/>
      <c r="K428" s="55"/>
      <c r="L428" s="55"/>
      <c r="M428" s="55"/>
      <c r="N428" s="55"/>
      <c r="O428" s="55"/>
      <c r="P428" s="55"/>
      <c r="Q428" s="55"/>
      <c r="R428" s="55"/>
      <c r="S428" s="55"/>
      <c r="T428" s="55"/>
      <c r="U428" s="55"/>
      <c r="V428" s="55"/>
      <c r="W428" s="55"/>
      <c r="X428" s="55"/>
      <c r="Y428" s="55"/>
      <c r="Z428" s="55"/>
      <c r="AA428" s="55"/>
      <c r="AB428" s="55"/>
    </row>
    <row r="429" spans="1:28" x14ac:dyDescent="0.25">
      <c r="A429" s="10" t="s">
        <v>295</v>
      </c>
      <c r="G429" s="55"/>
      <c r="H429" s="55"/>
      <c r="I429" s="55"/>
      <c r="J429" s="140"/>
      <c r="K429" s="55"/>
      <c r="L429" s="55"/>
      <c r="M429" s="55"/>
      <c r="N429" s="55"/>
      <c r="O429" s="55"/>
      <c r="P429" s="55"/>
      <c r="Q429" s="55"/>
      <c r="R429" s="55"/>
      <c r="S429" s="55"/>
      <c r="T429" s="55"/>
      <c r="U429" s="55"/>
      <c r="V429" s="55"/>
      <c r="W429" s="55"/>
      <c r="X429" s="55"/>
      <c r="Y429" s="55"/>
      <c r="Z429" s="55"/>
      <c r="AA429" s="55"/>
    </row>
    <row r="430" spans="1:28" x14ac:dyDescent="0.25">
      <c r="A430" s="64" t="s">
        <v>288</v>
      </c>
      <c r="G430" s="55">
        <v>-2.96</v>
      </c>
      <c r="H430" s="122"/>
      <c r="I430" s="122"/>
      <c r="J430" s="313"/>
      <c r="K430" s="122">
        <v>-3.226</v>
      </c>
      <c r="L430" s="122"/>
      <c r="M430" s="122">
        <v>-3.3540000000000001</v>
      </c>
      <c r="N430" s="122">
        <v>-3.3570000000000002</v>
      </c>
      <c r="O430" s="122">
        <v>-3.51</v>
      </c>
      <c r="P430" s="122">
        <v>-3.492</v>
      </c>
      <c r="Q430" s="55"/>
      <c r="R430" s="273"/>
      <c r="S430" s="273"/>
      <c r="T430" s="273"/>
      <c r="U430" s="273"/>
      <c r="V430" s="55"/>
      <c r="W430" s="55"/>
      <c r="X430" s="55"/>
      <c r="Y430" s="55"/>
      <c r="Z430" s="55"/>
      <c r="AA430" s="55"/>
    </row>
    <row r="431" spans="1:28" x14ac:dyDescent="0.25">
      <c r="A431" s="64" t="s">
        <v>289</v>
      </c>
      <c r="G431" s="55">
        <v>-6.4939999999999998</v>
      </c>
      <c r="H431" s="122"/>
      <c r="I431" s="122"/>
      <c r="J431" s="313"/>
      <c r="K431" s="122">
        <v>-6.8390000000000004</v>
      </c>
      <c r="L431" s="122"/>
      <c r="M431" s="122">
        <v>-6.9740000000000002</v>
      </c>
      <c r="N431" s="122">
        <v>-6.9240000000000004</v>
      </c>
      <c r="O431" s="122">
        <v>-7.1630000000000003</v>
      </c>
      <c r="P431" s="122">
        <v>-7.0759999999999996</v>
      </c>
      <c r="Q431" s="55"/>
      <c r="R431" s="273"/>
      <c r="S431" s="273"/>
      <c r="T431" s="273"/>
      <c r="U431" s="273"/>
      <c r="V431" s="55"/>
      <c r="W431" s="55"/>
      <c r="X431" s="55"/>
      <c r="Y431" s="55"/>
      <c r="Z431" s="55"/>
      <c r="AA431" s="55"/>
    </row>
    <row r="432" spans="1:28" x14ac:dyDescent="0.25">
      <c r="A432" s="64" t="s">
        <v>290</v>
      </c>
      <c r="G432" s="55">
        <v>-5.8620000000000001</v>
      </c>
      <c r="H432" s="122"/>
      <c r="I432" s="122"/>
      <c r="J432" s="313"/>
      <c r="K432" s="122">
        <v>-6.5819999999999999</v>
      </c>
      <c r="L432" s="122"/>
      <c r="M432" s="122">
        <v>-6.9509999999999996</v>
      </c>
      <c r="N432" s="122">
        <v>-7.117</v>
      </c>
      <c r="O432" s="122">
        <v>-7.3259999999999996</v>
      </c>
      <c r="P432" s="122">
        <v>-7.4770000000000003</v>
      </c>
      <c r="Q432" s="55"/>
      <c r="R432" s="273"/>
      <c r="S432" s="273"/>
      <c r="T432" s="273"/>
      <c r="U432" s="273"/>
      <c r="V432" s="55"/>
      <c r="W432" s="55"/>
      <c r="X432" s="55"/>
      <c r="Y432" s="55"/>
      <c r="Z432" s="55"/>
      <c r="AA432" s="55"/>
    </row>
    <row r="433" spans="1:28" x14ac:dyDescent="0.25">
      <c r="A433" s="64" t="s">
        <v>291</v>
      </c>
      <c r="G433" s="55">
        <v>-0.11700000000000001</v>
      </c>
      <c r="H433" s="122"/>
      <c r="I433" s="122"/>
      <c r="J433" s="313"/>
      <c r="K433" s="122">
        <v>-0.14699999999999999</v>
      </c>
      <c r="L433" s="122"/>
      <c r="M433" s="122">
        <v>-0.16300000000000001</v>
      </c>
      <c r="N433" s="122">
        <v>-0.16400000000000001</v>
      </c>
      <c r="O433" s="122">
        <v>0</v>
      </c>
      <c r="P433" s="122">
        <v>0</v>
      </c>
      <c r="Q433" s="55"/>
      <c r="R433" s="273"/>
      <c r="S433" s="273"/>
      <c r="T433" s="273"/>
      <c r="U433" s="273"/>
      <c r="V433" s="55"/>
      <c r="W433" s="55"/>
      <c r="X433" s="55"/>
      <c r="Y433" s="55"/>
      <c r="Z433" s="55"/>
      <c r="AA433" s="55"/>
    </row>
    <row r="434" spans="1:28" x14ac:dyDescent="0.25">
      <c r="A434" s="64" t="s">
        <v>292</v>
      </c>
      <c r="G434" s="62">
        <v>-1.6</v>
      </c>
      <c r="H434" s="268"/>
      <c r="I434" s="268"/>
      <c r="J434" s="315"/>
      <c r="K434" s="268">
        <v>-1.776</v>
      </c>
      <c r="L434" s="268"/>
      <c r="M434" s="268">
        <v>-1.9650000000000001</v>
      </c>
      <c r="N434" s="268">
        <v>-2.0350000000000001</v>
      </c>
      <c r="O434" s="268">
        <v>-2.3039999999999998</v>
      </c>
      <c r="P434" s="268">
        <v>-2.3039999999999998</v>
      </c>
      <c r="Q434" s="55"/>
      <c r="R434" s="93"/>
      <c r="S434" s="93"/>
      <c r="T434" s="93"/>
      <c r="U434" s="93"/>
      <c r="V434" s="55"/>
      <c r="W434" s="62"/>
      <c r="X434" s="62"/>
      <c r="Y434" s="62"/>
      <c r="Z434" s="62"/>
      <c r="AA434" s="62"/>
    </row>
    <row r="435" spans="1:28" x14ac:dyDescent="0.25">
      <c r="A435" s="10" t="s">
        <v>295</v>
      </c>
      <c r="G435" s="63">
        <f t="shared" ref="G435" si="371">SUM(G430:G434)</f>
        <v>-17.033000000000001</v>
      </c>
      <c r="H435" s="312">
        <f t="shared" ref="H435" si="372">SUM(H430:H434)</f>
        <v>0</v>
      </c>
      <c r="I435" s="312">
        <f t="shared" ref="I435" si="373">SUM(I430:I434)</f>
        <v>0</v>
      </c>
      <c r="J435" s="318">
        <f t="shared" ref="J435" si="374">SUM(J430:J434)</f>
        <v>0</v>
      </c>
      <c r="K435" s="312">
        <f>SUM(K430:K434)</f>
        <v>-18.57</v>
      </c>
      <c r="L435" s="312">
        <f t="shared" ref="L435" si="375">SUM(L430:L434)</f>
        <v>0</v>
      </c>
      <c r="M435" s="312">
        <f t="shared" ref="M435:P435" si="376">SUM(M430:M434)</f>
        <v>-19.407</v>
      </c>
      <c r="N435" s="312">
        <f t="shared" si="376"/>
        <v>-19.597000000000001</v>
      </c>
      <c r="O435" s="312">
        <f t="shared" si="376"/>
        <v>-20.302999999999997</v>
      </c>
      <c r="P435" s="312">
        <f t="shared" si="376"/>
        <v>-20.349</v>
      </c>
      <c r="Q435" s="55"/>
      <c r="R435" s="141">
        <f>P435+R437</f>
        <v>-20.7775</v>
      </c>
      <c r="S435" s="141">
        <f>R435+S437</f>
        <v>-21.206</v>
      </c>
      <c r="T435" s="141">
        <f>S435+T437</f>
        <v>-21.634499999999999</v>
      </c>
      <c r="U435" s="141">
        <f>T435+U437</f>
        <v>-22.062999999999999</v>
      </c>
      <c r="V435" s="55"/>
      <c r="W435" s="141">
        <f>U435</f>
        <v>-22.062999999999999</v>
      </c>
      <c r="X435" s="141">
        <f>W435+X437</f>
        <v>-23.765999999999998</v>
      </c>
      <c r="Y435" s="141">
        <f>X435+Y437</f>
        <v>-25.405999999999999</v>
      </c>
      <c r="Z435" s="141">
        <f>Y435+Z437</f>
        <v>-26.994999999999997</v>
      </c>
      <c r="AA435" s="141">
        <f>Z435+AA437</f>
        <v>-28.571999999999996</v>
      </c>
    </row>
    <row r="436" spans="1:28" x14ac:dyDescent="0.25">
      <c r="A436" s="10"/>
      <c r="G436" s="55"/>
      <c r="H436" s="122"/>
      <c r="I436" s="122"/>
      <c r="J436" s="313"/>
      <c r="K436" s="122"/>
      <c r="L436" s="122"/>
      <c r="M436" s="122"/>
      <c r="N436" s="122"/>
      <c r="O436" s="122"/>
      <c r="P436" s="122"/>
      <c r="Q436" s="55"/>
      <c r="R436" s="55"/>
      <c r="S436" s="55"/>
      <c r="T436" s="55"/>
      <c r="U436" s="55"/>
      <c r="V436" s="55"/>
      <c r="W436" s="55"/>
      <c r="X436" s="55"/>
      <c r="Y436" s="55"/>
      <c r="Z436" s="55"/>
      <c r="AA436" s="55"/>
    </row>
    <row r="437" spans="1:28" x14ac:dyDescent="0.25">
      <c r="A437" s="348" t="s">
        <v>302</v>
      </c>
      <c r="R437" s="273">
        <f>$W$437/4</f>
        <v>-0.42849999999999999</v>
      </c>
      <c r="S437" s="273">
        <f t="shared" ref="S437:U437" si="377">$W$437/4</f>
        <v>-0.42849999999999999</v>
      </c>
      <c r="T437" s="273">
        <f t="shared" si="377"/>
        <v>-0.42849999999999999</v>
      </c>
      <c r="U437" s="273">
        <f t="shared" si="377"/>
        <v>-0.42849999999999999</v>
      </c>
      <c r="V437" s="55"/>
      <c r="W437" s="344">
        <v>-1.714</v>
      </c>
      <c r="X437" s="344">
        <v>-1.7030000000000001</v>
      </c>
      <c r="Y437" s="344">
        <v>-1.64</v>
      </c>
      <c r="Z437" s="344">
        <v>-1.589</v>
      </c>
      <c r="AA437" s="344">
        <v>-1.577</v>
      </c>
    </row>
    <row r="438" spans="1:28" x14ac:dyDescent="0.25">
      <c r="A438" s="10"/>
      <c r="G438" s="55"/>
      <c r="H438" s="122"/>
      <c r="I438" s="122"/>
      <c r="J438" s="313"/>
      <c r="K438" s="122"/>
      <c r="L438" s="122"/>
      <c r="M438" s="122"/>
      <c r="N438" s="122"/>
      <c r="O438" s="122"/>
      <c r="P438" s="122"/>
      <c r="Q438" s="55"/>
      <c r="R438" s="55"/>
      <c r="S438" s="55"/>
      <c r="T438" s="55"/>
      <c r="U438" s="55"/>
      <c r="V438" s="55"/>
      <c r="W438" s="55"/>
      <c r="X438" s="55"/>
      <c r="Y438" s="55"/>
      <c r="Z438" s="55"/>
      <c r="AA438" s="55"/>
    </row>
    <row r="439" spans="1:28" x14ac:dyDescent="0.25">
      <c r="A439" s="10" t="s">
        <v>296</v>
      </c>
      <c r="H439" s="82"/>
      <c r="I439" s="82"/>
      <c r="J439" s="105"/>
      <c r="K439" s="82"/>
      <c r="L439" s="82"/>
      <c r="M439" s="82"/>
      <c r="N439" s="82"/>
      <c r="O439" s="82"/>
      <c r="P439" s="82"/>
    </row>
    <row r="440" spans="1:28" x14ac:dyDescent="0.25">
      <c r="A440" s="64" t="s">
        <v>288</v>
      </c>
      <c r="G440" s="31">
        <v>33</v>
      </c>
      <c r="H440" s="82"/>
      <c r="I440" s="82"/>
      <c r="J440" s="105"/>
      <c r="K440" s="82">
        <v>32</v>
      </c>
      <c r="L440" s="82"/>
      <c r="M440" s="82"/>
      <c r="N440" s="108"/>
      <c r="O440" s="82">
        <v>32</v>
      </c>
      <c r="P440" s="82"/>
    </row>
    <row r="441" spans="1:28" x14ac:dyDescent="0.25">
      <c r="A441" s="64" t="s">
        <v>289</v>
      </c>
      <c r="G441" s="31">
        <v>19</v>
      </c>
      <c r="H441" s="82"/>
      <c r="I441" s="82"/>
      <c r="J441" s="105"/>
      <c r="K441" s="82">
        <v>19</v>
      </c>
      <c r="L441" s="82"/>
      <c r="M441" s="82"/>
      <c r="N441" s="108"/>
      <c r="O441" s="82">
        <v>19</v>
      </c>
      <c r="P441" s="82"/>
    </row>
    <row r="442" spans="1:28" x14ac:dyDescent="0.25">
      <c r="A442" s="64" t="s">
        <v>290</v>
      </c>
      <c r="G442" s="31">
        <v>20</v>
      </c>
      <c r="H442" s="82"/>
      <c r="I442" s="82"/>
      <c r="J442" s="105"/>
      <c r="K442" s="82">
        <v>20</v>
      </c>
      <c r="L442" s="82"/>
      <c r="M442" s="82"/>
      <c r="N442" s="108"/>
      <c r="O442" s="82">
        <v>20</v>
      </c>
      <c r="P442" s="82"/>
    </row>
    <row r="443" spans="1:28" x14ac:dyDescent="0.25">
      <c r="A443" s="64" t="s">
        <v>291</v>
      </c>
      <c r="G443" s="31">
        <v>6</v>
      </c>
      <c r="H443" s="82"/>
      <c r="I443" s="82"/>
      <c r="J443" s="105"/>
      <c r="K443" s="82">
        <v>6</v>
      </c>
      <c r="L443" s="82"/>
      <c r="M443" s="82"/>
      <c r="N443" s="108"/>
      <c r="O443" s="82">
        <v>0</v>
      </c>
      <c r="P443" s="82"/>
    </row>
    <row r="444" spans="1:28" x14ac:dyDescent="0.25">
      <c r="A444" s="64" t="s">
        <v>292</v>
      </c>
      <c r="G444" s="72">
        <v>21</v>
      </c>
      <c r="H444" s="111"/>
      <c r="I444" s="111"/>
      <c r="J444" s="138"/>
      <c r="K444" s="111">
        <v>20</v>
      </c>
      <c r="L444" s="111"/>
      <c r="M444" s="111"/>
      <c r="N444" s="110"/>
      <c r="O444" s="111">
        <v>20</v>
      </c>
      <c r="P444" s="111"/>
    </row>
    <row r="445" spans="1:28" s="33" customFormat="1" x14ac:dyDescent="0.25">
      <c r="A445" s="10" t="s">
        <v>297</v>
      </c>
      <c r="G445" s="33">
        <v>23</v>
      </c>
      <c r="H445" s="112"/>
      <c r="I445" s="112"/>
      <c r="J445" s="150"/>
      <c r="K445" s="112">
        <v>22</v>
      </c>
      <c r="L445" s="112"/>
      <c r="M445" s="112"/>
      <c r="N445" s="112"/>
      <c r="O445" s="112">
        <v>22</v>
      </c>
      <c r="P445" s="112"/>
    </row>
    <row r="446" spans="1:28" x14ac:dyDescent="0.25">
      <c r="A446" s="10"/>
    </row>
    <row r="447" spans="1:28" x14ac:dyDescent="0.25">
      <c r="A447" s="10" t="s">
        <v>306</v>
      </c>
      <c r="G447" s="55"/>
      <c r="H447" s="55"/>
      <c r="I447" s="55"/>
      <c r="J447" s="140"/>
      <c r="K447" s="55"/>
      <c r="L447" s="55"/>
      <c r="M447" s="55"/>
      <c r="N447" s="55"/>
      <c r="O447" s="55"/>
      <c r="P447" s="55"/>
      <c r="Q447" s="55"/>
      <c r="R447" s="55"/>
      <c r="S447" s="55"/>
      <c r="T447" s="55"/>
      <c r="U447" s="55"/>
      <c r="V447" s="55"/>
      <c r="W447" s="55"/>
      <c r="X447" s="55"/>
      <c r="Y447" s="55"/>
      <c r="Z447" s="55"/>
      <c r="AA447" s="55"/>
      <c r="AB447" s="55"/>
    </row>
    <row r="448" spans="1:28" x14ac:dyDescent="0.25">
      <c r="A448" s="348" t="s">
        <v>303</v>
      </c>
      <c r="G448" s="55">
        <v>59.683</v>
      </c>
      <c r="H448" s="55"/>
      <c r="I448" s="55"/>
      <c r="J448" s="140"/>
      <c r="K448" s="55">
        <f>43.098</f>
        <v>43.097999999999999</v>
      </c>
      <c r="L448" s="55"/>
      <c r="M448" s="55">
        <v>44.76</v>
      </c>
      <c r="N448" s="55">
        <v>44.783000000000001</v>
      </c>
      <c r="O448" s="55">
        <v>28.398</v>
      </c>
      <c r="P448" s="55">
        <f>P451-P450</f>
        <v>28.6</v>
      </c>
      <c r="Q448" s="55"/>
      <c r="R448" s="122">
        <f>P448+R453</f>
        <v>28.623000000000005</v>
      </c>
      <c r="S448" s="55">
        <f>R448+S453</f>
        <v>28.646000000000008</v>
      </c>
      <c r="T448" s="55">
        <f t="shared" ref="T448:U448" si="378">S448+T453</f>
        <v>28.669000000000011</v>
      </c>
      <c r="U448" s="55">
        <f t="shared" si="378"/>
        <v>28.692000000000014</v>
      </c>
      <c r="V448" s="55"/>
      <c r="W448" s="55">
        <f>U448</f>
        <v>28.692000000000014</v>
      </c>
      <c r="X448" s="55">
        <f>W448+X453</f>
        <v>28.785840000000029</v>
      </c>
      <c r="Y448" s="55">
        <f t="shared" ref="Y448:AA448" si="379">X448+Y453</f>
        <v>28.881556800000041</v>
      </c>
      <c r="Z448" s="55">
        <f t="shared" si="379"/>
        <v>28.979187936000056</v>
      </c>
      <c r="AA448" s="55">
        <f t="shared" si="379"/>
        <v>29.078771694720071</v>
      </c>
      <c r="AB448" s="55"/>
    </row>
    <row r="449" spans="1:28" x14ac:dyDescent="0.25">
      <c r="A449" s="348" t="s">
        <v>304</v>
      </c>
      <c r="G449" s="55">
        <v>101.304</v>
      </c>
      <c r="H449" s="55"/>
      <c r="I449" s="55"/>
      <c r="J449" s="140"/>
      <c r="K449" s="55">
        <v>0</v>
      </c>
      <c r="L449" s="55"/>
      <c r="M449" s="55">
        <v>0</v>
      </c>
      <c r="N449" s="55">
        <v>0</v>
      </c>
      <c r="O449" s="55">
        <v>0</v>
      </c>
      <c r="P449" s="55">
        <v>0</v>
      </c>
      <c r="Q449" s="55"/>
      <c r="R449" s="122">
        <v>0</v>
      </c>
      <c r="S449" s="55">
        <v>0</v>
      </c>
      <c r="T449" s="55">
        <v>0</v>
      </c>
      <c r="U449" s="55">
        <v>0</v>
      </c>
      <c r="V449" s="55"/>
      <c r="W449" s="55">
        <v>0</v>
      </c>
      <c r="X449" s="55">
        <v>0</v>
      </c>
      <c r="Y449" s="55">
        <v>0</v>
      </c>
      <c r="Z449" s="55">
        <v>0</v>
      </c>
      <c r="AA449" s="55">
        <v>0</v>
      </c>
      <c r="AB449" s="55"/>
    </row>
    <row r="450" spans="1:28" x14ac:dyDescent="0.25">
      <c r="A450" s="348" t="s">
        <v>305</v>
      </c>
      <c r="G450" s="62">
        <v>0</v>
      </c>
      <c r="H450" s="62"/>
      <c r="I450" s="62"/>
      <c r="J450" s="143"/>
      <c r="K450" s="62">
        <v>0.221</v>
      </c>
      <c r="L450" s="62"/>
      <c r="M450" s="62">
        <v>0.20699999999999999</v>
      </c>
      <c r="N450" s="62">
        <v>0.21199999999999999</v>
      </c>
      <c r="O450" s="62">
        <v>0.21299999999999999</v>
      </c>
      <c r="P450" s="346">
        <v>0.2</v>
      </c>
      <c r="Q450" s="55"/>
      <c r="R450" s="352">
        <f>N450</f>
        <v>0.21199999999999999</v>
      </c>
      <c r="S450" s="93">
        <f>R450</f>
        <v>0.21199999999999999</v>
      </c>
      <c r="T450" s="93">
        <f t="shared" ref="T450:U450" si="380">S450</f>
        <v>0.21199999999999999</v>
      </c>
      <c r="U450" s="93">
        <f t="shared" si="380"/>
        <v>0.21199999999999999</v>
      </c>
      <c r="V450" s="273"/>
      <c r="W450" s="93">
        <f>U450</f>
        <v>0.21199999999999999</v>
      </c>
      <c r="X450" s="93">
        <f>W450</f>
        <v>0.21199999999999999</v>
      </c>
      <c r="Y450" s="93">
        <f t="shared" ref="Y450:AA450" si="381">X450</f>
        <v>0.21199999999999999</v>
      </c>
      <c r="Z450" s="93">
        <f t="shared" si="381"/>
        <v>0.21199999999999999</v>
      </c>
      <c r="AA450" s="93">
        <f t="shared" si="381"/>
        <v>0.21199999999999999</v>
      </c>
      <c r="AB450" s="55"/>
    </row>
    <row r="451" spans="1:28" s="33" customFormat="1" x14ac:dyDescent="0.25">
      <c r="A451" s="10" t="s">
        <v>307</v>
      </c>
      <c r="G451" s="63">
        <f>SUM(G448:G450)</f>
        <v>160.98699999999999</v>
      </c>
      <c r="H451" s="63"/>
      <c r="I451" s="63"/>
      <c r="J451" s="141"/>
      <c r="K451" s="63">
        <f>SUM(K448:K450)</f>
        <v>43.318999999999996</v>
      </c>
      <c r="L451" s="63"/>
      <c r="M451" s="63">
        <f>SUM(M448:M450)</f>
        <v>44.966999999999999</v>
      </c>
      <c r="N451" s="63">
        <f>SUM(N448:N450)</f>
        <v>44.995000000000005</v>
      </c>
      <c r="O451" s="63">
        <f>SUM(O448:O450)</f>
        <v>28.611000000000001</v>
      </c>
      <c r="P451" s="63">
        <v>28.8</v>
      </c>
      <c r="Q451" s="63"/>
      <c r="R451" s="312">
        <f>SUM(R448:R450)</f>
        <v>28.835000000000004</v>
      </c>
      <c r="S451" s="63">
        <f t="shared" ref="S451:W451" si="382">SUM(S448:S450)</f>
        <v>28.858000000000008</v>
      </c>
      <c r="T451" s="63">
        <f t="shared" si="382"/>
        <v>28.881000000000011</v>
      </c>
      <c r="U451" s="63">
        <f t="shared" si="382"/>
        <v>28.904000000000014</v>
      </c>
      <c r="V451" s="63"/>
      <c r="W451" s="63">
        <f t="shared" si="382"/>
        <v>28.904000000000014</v>
      </c>
      <c r="X451" s="63">
        <f t="shared" ref="X451" si="383">SUM(X448:X450)</f>
        <v>28.997840000000028</v>
      </c>
      <c r="Y451" s="63">
        <f t="shared" ref="Y451" si="384">SUM(Y448:Y450)</f>
        <v>29.093556800000041</v>
      </c>
      <c r="Z451" s="63">
        <f t="shared" ref="Z451" si="385">SUM(Z448:Z450)</f>
        <v>29.191187936000055</v>
      </c>
      <c r="AA451" s="63">
        <f t="shared" ref="AA451" si="386">SUM(AA448:AA450)</f>
        <v>29.290771694720071</v>
      </c>
      <c r="AB451" s="63"/>
    </row>
    <row r="452" spans="1:28" x14ac:dyDescent="0.25">
      <c r="A452" s="348"/>
      <c r="G452" s="55"/>
      <c r="H452" s="55"/>
      <c r="I452" s="55"/>
      <c r="J452" s="140"/>
      <c r="K452" s="55"/>
      <c r="L452" s="55"/>
      <c r="M452" s="55"/>
      <c r="N452" s="55"/>
      <c r="O452" s="55"/>
      <c r="P452" s="55"/>
      <c r="Q452" s="55"/>
      <c r="R452" s="122"/>
      <c r="S452" s="55"/>
      <c r="T452" s="55"/>
      <c r="U452" s="55"/>
      <c r="V452" s="55"/>
      <c r="W452" s="55"/>
      <c r="X452" s="55"/>
      <c r="Y452" s="55"/>
      <c r="Z452" s="55"/>
      <c r="AA452" s="55"/>
      <c r="AB452" s="55"/>
    </row>
    <row r="453" spans="1:28" x14ac:dyDescent="0.25">
      <c r="A453" s="348" t="s">
        <v>308</v>
      </c>
      <c r="B453" s="31">
        <v>5.5</v>
      </c>
      <c r="G453" s="55">
        <v>-4</v>
      </c>
      <c r="H453" s="55"/>
      <c r="I453" s="55"/>
      <c r="J453" s="140"/>
      <c r="K453" s="55">
        <v>1.3</v>
      </c>
      <c r="L453" s="55"/>
      <c r="M453" s="55"/>
      <c r="N453" s="55">
        <f>N448-M448</f>
        <v>2.300000000000324E-2</v>
      </c>
      <c r="O453" s="55">
        <f>O448-N448</f>
        <v>-16.385000000000002</v>
      </c>
      <c r="P453" s="55">
        <f>P448-O448</f>
        <v>0.20200000000000173</v>
      </c>
      <c r="Q453" s="55"/>
      <c r="R453" s="276">
        <f>N453</f>
        <v>2.300000000000324E-2</v>
      </c>
      <c r="S453" s="273">
        <f>R453</f>
        <v>2.300000000000324E-2</v>
      </c>
      <c r="T453" s="273">
        <f t="shared" ref="T453:U453" si="387">S453</f>
        <v>2.300000000000324E-2</v>
      </c>
      <c r="U453" s="273">
        <f t="shared" si="387"/>
        <v>2.300000000000324E-2</v>
      </c>
      <c r="V453" s="55"/>
      <c r="W453" s="55">
        <f>SUM(R453:U453)</f>
        <v>9.200000000001296E-2</v>
      </c>
      <c r="X453" s="273">
        <f>W453*1.02</f>
        <v>9.3840000000013218E-2</v>
      </c>
      <c r="Y453" s="273">
        <f t="shared" ref="Y453:AA453" si="388">X453*1.02</f>
        <v>9.571680000001348E-2</v>
      </c>
      <c r="Z453" s="273">
        <f t="shared" si="388"/>
        <v>9.7631136000013746E-2</v>
      </c>
      <c r="AA453" s="273">
        <f t="shared" si="388"/>
        <v>9.9583758720014029E-2</v>
      </c>
      <c r="AB453" s="55"/>
    </row>
    <row r="454" spans="1:28" collapsed="1" x14ac:dyDescent="0.25">
      <c r="A454" s="114"/>
      <c r="G454" s="55"/>
      <c r="H454" s="55"/>
      <c r="I454" s="55"/>
      <c r="J454" s="140"/>
      <c r="K454" s="55"/>
      <c r="L454" s="55"/>
      <c r="M454" s="55"/>
      <c r="N454" s="55"/>
      <c r="O454" s="55"/>
      <c r="P454" s="55"/>
      <c r="Q454" s="55"/>
      <c r="R454" s="55"/>
      <c r="S454" s="55"/>
      <c r="T454" s="55"/>
      <c r="U454" s="55"/>
      <c r="V454" s="55"/>
      <c r="W454" s="55"/>
      <c r="X454" s="55"/>
      <c r="Y454" s="55"/>
      <c r="Z454" s="55"/>
      <c r="AA454" s="55"/>
      <c r="AB454" s="55"/>
    </row>
    <row r="455" spans="1:28" x14ac:dyDescent="0.25">
      <c r="A455" s="39" t="s">
        <v>8752</v>
      </c>
      <c r="B455" s="40"/>
      <c r="C455" s="40"/>
      <c r="D455" s="40"/>
      <c r="E455" s="40"/>
      <c r="F455" s="40"/>
      <c r="G455" s="40"/>
      <c r="H455" s="40"/>
      <c r="I455" s="40"/>
      <c r="J455" s="40"/>
      <c r="K455" s="40"/>
      <c r="L455" s="40"/>
      <c r="M455" s="40"/>
      <c r="N455" s="40"/>
      <c r="O455" s="40"/>
      <c r="P455" s="40"/>
      <c r="Q455" s="41"/>
      <c r="R455" s="41"/>
      <c r="S455" s="41"/>
      <c r="T455" s="41"/>
      <c r="U455" s="41"/>
      <c r="V455" s="41"/>
      <c r="W455" s="41"/>
      <c r="X455" s="41"/>
      <c r="Y455" s="41"/>
      <c r="Z455" s="41"/>
      <c r="AA455" s="42"/>
    </row>
    <row r="456" spans="1:28" x14ac:dyDescent="0.25">
      <c r="A456" s="114"/>
    </row>
    <row r="457" spans="1:28" x14ac:dyDescent="0.25">
      <c r="A457" s="370" t="s">
        <v>310</v>
      </c>
      <c r="H457" s="55">
        <f t="shared" ref="H457:P457" si="389">H130/(SUM(H77:H78)/(365/4))</f>
        <v>19.874953212619026</v>
      </c>
      <c r="I457" s="55">
        <f t="shared" si="389"/>
        <v>18.695071181941668</v>
      </c>
      <c r="J457" s="140">
        <f t="shared" si="389"/>
        <v>21.486807059878931</v>
      </c>
      <c r="K457" s="55">
        <f t="shared" si="389"/>
        <v>21.219757603274662</v>
      </c>
      <c r="L457" s="55">
        <f t="shared" si="389"/>
        <v>22.33776590786211</v>
      </c>
      <c r="M457" s="55">
        <f t="shared" si="389"/>
        <v>18.053414828594207</v>
      </c>
      <c r="N457" s="55">
        <f t="shared" si="389"/>
        <v>20.896179676318393</v>
      </c>
      <c r="O457" s="55">
        <f t="shared" si="389"/>
        <v>22.393105394220608</v>
      </c>
      <c r="P457" s="55">
        <f t="shared" si="389"/>
        <v>24.209793645594498</v>
      </c>
      <c r="Q457" s="55"/>
      <c r="R457" s="372">
        <f>M457</f>
        <v>18.053414828594207</v>
      </c>
      <c r="S457" s="372">
        <f t="shared" ref="S457:U458" si="390">N457</f>
        <v>20.896179676318393</v>
      </c>
      <c r="T457" s="372">
        <f t="shared" si="390"/>
        <v>22.393105394220608</v>
      </c>
      <c r="U457" s="372">
        <f t="shared" si="390"/>
        <v>24.209793645594498</v>
      </c>
      <c r="V457" s="55"/>
      <c r="W457" s="55">
        <f>W130/(SUM(W77:W78)/365)</f>
        <v>23.981057624032552</v>
      </c>
      <c r="X457" s="273">
        <f>U457</f>
        <v>24.209793645594498</v>
      </c>
      <c r="Y457" s="273">
        <f t="shared" ref="Y457:AA457" si="391">X457</f>
        <v>24.209793645594498</v>
      </c>
      <c r="Z457" s="273">
        <f t="shared" si="391"/>
        <v>24.209793645594498</v>
      </c>
      <c r="AA457" s="273">
        <f t="shared" si="391"/>
        <v>24.209793645594498</v>
      </c>
    </row>
    <row r="458" spans="1:28" x14ac:dyDescent="0.25">
      <c r="A458" s="371" t="s">
        <v>311</v>
      </c>
      <c r="H458" s="29">
        <f t="shared" ref="H458:P458" si="392">H131/H83</f>
        <v>0.27107086741066033</v>
      </c>
      <c r="I458" s="29">
        <f t="shared" si="392"/>
        <v>0.28201345734888617</v>
      </c>
      <c r="J458" s="145">
        <f t="shared" si="392"/>
        <v>0.26651720717405564</v>
      </c>
      <c r="K458" s="29">
        <f t="shared" si="392"/>
        <v>0.27962335431469598</v>
      </c>
      <c r="L458" s="29">
        <f t="shared" si="392"/>
        <v>0.27740006024355607</v>
      </c>
      <c r="M458" s="29">
        <f t="shared" si="392"/>
        <v>0.29910371698825161</v>
      </c>
      <c r="N458" s="29">
        <f t="shared" si="392"/>
        <v>0.29118299617000448</v>
      </c>
      <c r="O458" s="29">
        <f t="shared" si="392"/>
        <v>0.29642922419952483</v>
      </c>
      <c r="P458" s="29">
        <f t="shared" si="392"/>
        <v>0.29559203539442519</v>
      </c>
      <c r="R458" s="373">
        <f>M458</f>
        <v>0.29910371698825161</v>
      </c>
      <c r="S458" s="373">
        <f t="shared" si="390"/>
        <v>0.29118299617000448</v>
      </c>
      <c r="T458" s="373">
        <f t="shared" si="390"/>
        <v>0.29642922419952483</v>
      </c>
      <c r="U458" s="373">
        <f t="shared" si="390"/>
        <v>0.29559203539442519</v>
      </c>
      <c r="W458" s="29">
        <f>W131/W83</f>
        <v>7.330696886231157E-2</v>
      </c>
      <c r="X458" s="78">
        <f>W458</f>
        <v>7.330696886231157E-2</v>
      </c>
      <c r="Y458" s="78">
        <f>X458</f>
        <v>7.330696886231157E-2</v>
      </c>
      <c r="Z458" s="78">
        <f t="shared" ref="Z458:AA458" si="393">Y458</f>
        <v>7.330696886231157E-2</v>
      </c>
      <c r="AA458" s="78">
        <f t="shared" si="393"/>
        <v>7.330696886231157E-2</v>
      </c>
    </row>
    <row r="459" spans="1:28" collapsed="1" x14ac:dyDescent="0.25">
      <c r="A459" s="114"/>
    </row>
    <row r="460" spans="1:28" x14ac:dyDescent="0.25">
      <c r="A460" s="39" t="s">
        <v>309</v>
      </c>
      <c r="B460" s="40"/>
      <c r="C460" s="40"/>
      <c r="D460" s="40"/>
      <c r="E460" s="40"/>
      <c r="F460" s="40"/>
      <c r="G460" s="40"/>
      <c r="H460" s="40"/>
      <c r="I460" s="40"/>
      <c r="J460" s="40"/>
      <c r="K460" s="40"/>
      <c r="L460" s="40"/>
      <c r="M460" s="40"/>
      <c r="N460" s="40"/>
      <c r="O460" s="40"/>
      <c r="P460" s="40"/>
      <c r="Q460" s="41"/>
      <c r="R460" s="41"/>
      <c r="S460" s="41"/>
      <c r="T460" s="41"/>
      <c r="U460" s="41"/>
      <c r="V460" s="41"/>
      <c r="W460" s="41"/>
      <c r="X460" s="41"/>
      <c r="Y460" s="41"/>
      <c r="Z460" s="41"/>
      <c r="AA460" s="42"/>
    </row>
    <row r="461" spans="1:28" x14ac:dyDescent="0.25">
      <c r="A461" s="114"/>
    </row>
    <row r="462" spans="1:28" x14ac:dyDescent="0.25">
      <c r="A462" s="10" t="s">
        <v>319</v>
      </c>
      <c r="G462" s="55"/>
      <c r="H462" s="55"/>
      <c r="I462" s="55"/>
      <c r="J462" s="140"/>
      <c r="K462" s="55"/>
      <c r="L462" s="55"/>
      <c r="M462" s="55"/>
      <c r="N462" s="55"/>
      <c r="O462" s="55"/>
      <c r="P462" s="55"/>
      <c r="Q462" s="55"/>
      <c r="R462" s="55"/>
      <c r="S462" s="55"/>
      <c r="T462" s="55"/>
      <c r="U462" s="55"/>
      <c r="V462" s="55"/>
      <c r="W462" s="55"/>
      <c r="X462" s="55"/>
      <c r="Y462" s="55"/>
      <c r="Z462" s="55"/>
      <c r="AA462" s="55"/>
    </row>
    <row r="463" spans="1:28" x14ac:dyDescent="0.25">
      <c r="A463" s="374" t="s">
        <v>312</v>
      </c>
      <c r="G463" s="55">
        <v>0</v>
      </c>
      <c r="H463" s="55">
        <f>G466</f>
        <v>0</v>
      </c>
      <c r="I463" s="55">
        <f>H466</f>
        <v>0</v>
      </c>
      <c r="J463" s="140">
        <f t="shared" ref="J463:O463" si="394">I466</f>
        <v>0</v>
      </c>
      <c r="K463" s="55">
        <f t="shared" si="394"/>
        <v>0</v>
      </c>
      <c r="L463" s="55">
        <f t="shared" si="394"/>
        <v>0</v>
      </c>
      <c r="M463" s="55">
        <f t="shared" si="394"/>
        <v>0</v>
      </c>
      <c r="N463" s="55">
        <f t="shared" si="394"/>
        <v>0</v>
      </c>
      <c r="O463" s="55">
        <f t="shared" si="394"/>
        <v>0</v>
      </c>
      <c r="P463" s="55">
        <v>0</v>
      </c>
      <c r="Q463" s="55"/>
      <c r="R463" s="55">
        <f>P466</f>
        <v>0</v>
      </c>
      <c r="S463" s="55">
        <f>R466</f>
        <v>0</v>
      </c>
      <c r="T463" s="55">
        <f t="shared" ref="T463:U463" si="395">S466</f>
        <v>0</v>
      </c>
      <c r="U463" s="55">
        <f t="shared" si="395"/>
        <v>0</v>
      </c>
      <c r="V463" s="55"/>
      <c r="W463" s="55">
        <f>M466</f>
        <v>0</v>
      </c>
      <c r="X463" s="55">
        <f>W466</f>
        <v>0</v>
      </c>
      <c r="Y463" s="55">
        <f t="shared" ref="Y463:AA463" si="396">X466</f>
        <v>0</v>
      </c>
      <c r="Z463" s="55">
        <f t="shared" si="396"/>
        <v>0</v>
      </c>
      <c r="AA463" s="55">
        <f t="shared" si="396"/>
        <v>0</v>
      </c>
    </row>
    <row r="464" spans="1:28" x14ac:dyDescent="0.25">
      <c r="A464" s="375" t="s">
        <v>313</v>
      </c>
      <c r="G464" s="55">
        <v>0</v>
      </c>
      <c r="H464" s="55">
        <v>0</v>
      </c>
      <c r="I464" s="55">
        <v>0</v>
      </c>
      <c r="J464" s="140">
        <v>0</v>
      </c>
      <c r="K464" s="55">
        <v>0</v>
      </c>
      <c r="L464" s="55">
        <v>0</v>
      </c>
      <c r="M464" s="55">
        <v>0</v>
      </c>
      <c r="N464" s="55">
        <v>0</v>
      </c>
      <c r="O464" s="55">
        <v>0</v>
      </c>
      <c r="P464" s="55">
        <v>0</v>
      </c>
      <c r="Q464" s="55"/>
      <c r="R464" s="273">
        <v>0</v>
      </c>
      <c r="S464" s="273">
        <v>0</v>
      </c>
      <c r="T464" s="273">
        <v>0</v>
      </c>
      <c r="U464" s="273">
        <v>0</v>
      </c>
      <c r="V464" s="55"/>
      <c r="W464" s="71">
        <f>SUM(R464:U464)</f>
        <v>0</v>
      </c>
      <c r="X464" s="273">
        <v>0</v>
      </c>
      <c r="Y464" s="273">
        <v>0</v>
      </c>
      <c r="Z464" s="273">
        <v>0</v>
      </c>
      <c r="AA464" s="273">
        <v>0</v>
      </c>
    </row>
    <row r="465" spans="1:27" x14ac:dyDescent="0.25">
      <c r="A465" s="375" t="s">
        <v>314</v>
      </c>
      <c r="G465" s="62">
        <v>0</v>
      </c>
      <c r="H465" s="62">
        <v>0</v>
      </c>
      <c r="I465" s="62">
        <v>0</v>
      </c>
      <c r="J465" s="143">
        <v>0</v>
      </c>
      <c r="K465" s="62">
        <v>0</v>
      </c>
      <c r="L465" s="62">
        <v>0</v>
      </c>
      <c r="M465" s="62">
        <v>0</v>
      </c>
      <c r="N465" s="62">
        <v>0</v>
      </c>
      <c r="O465" s="62">
        <v>0</v>
      </c>
      <c r="P465" s="62">
        <v>0</v>
      </c>
      <c r="Q465" s="55"/>
      <c r="R465" s="93">
        <v>0</v>
      </c>
      <c r="S465" s="93">
        <v>0</v>
      </c>
      <c r="T465" s="93">
        <v>0</v>
      </c>
      <c r="U465" s="93">
        <v>0</v>
      </c>
      <c r="V465" s="55"/>
      <c r="W465" s="62">
        <f>SUM(R465:U465)</f>
        <v>0</v>
      </c>
      <c r="X465" s="93">
        <v>0</v>
      </c>
      <c r="Y465" s="93">
        <v>0</v>
      </c>
      <c r="Z465" s="93">
        <v>0</v>
      </c>
      <c r="AA465" s="93">
        <v>0</v>
      </c>
    </row>
    <row r="466" spans="1:27" s="33" customFormat="1" x14ac:dyDescent="0.25">
      <c r="A466" s="10" t="s">
        <v>315</v>
      </c>
      <c r="G466" s="63">
        <f t="shared" ref="G466:L466" si="397">SUM(G463:G465)</f>
        <v>0</v>
      </c>
      <c r="H466" s="63">
        <f t="shared" si="397"/>
        <v>0</v>
      </c>
      <c r="I466" s="63">
        <f t="shared" si="397"/>
        <v>0</v>
      </c>
      <c r="J466" s="141">
        <f t="shared" si="397"/>
        <v>0</v>
      </c>
      <c r="K466" s="63">
        <f t="shared" si="397"/>
        <v>0</v>
      </c>
      <c r="L466" s="63">
        <f t="shared" si="397"/>
        <v>0</v>
      </c>
      <c r="M466" s="63">
        <f>SUM(M463:M465)</f>
        <v>0</v>
      </c>
      <c r="N466" s="63">
        <f>SUM(N463:N465)</f>
        <v>0</v>
      </c>
      <c r="O466" s="63">
        <f>SUM(O463:O465)</f>
        <v>0</v>
      </c>
      <c r="P466" s="63">
        <f>SUM(P463:P465)</f>
        <v>0</v>
      </c>
      <c r="Q466" s="63"/>
      <c r="R466" s="63">
        <f>SUM(R463:R465)</f>
        <v>0</v>
      </c>
      <c r="S466" s="63">
        <f t="shared" ref="S466:W466" si="398">SUM(S463:S465)</f>
        <v>0</v>
      </c>
      <c r="T466" s="63">
        <f t="shared" si="398"/>
        <v>0</v>
      </c>
      <c r="U466" s="63">
        <f t="shared" si="398"/>
        <v>0</v>
      </c>
      <c r="V466" s="63"/>
      <c r="W466" s="63">
        <f t="shared" si="398"/>
        <v>0</v>
      </c>
      <c r="X466" s="63">
        <f>SUM(X463:X465)</f>
        <v>0</v>
      </c>
      <c r="Y466" s="63">
        <f t="shared" ref="Y466:AA466" si="399">SUM(Y463:Y465)</f>
        <v>0</v>
      </c>
      <c r="Z466" s="63">
        <f t="shared" si="399"/>
        <v>0</v>
      </c>
      <c r="AA466" s="63">
        <f t="shared" si="399"/>
        <v>0</v>
      </c>
    </row>
    <row r="467" spans="1:27" x14ac:dyDescent="0.25">
      <c r="A467" s="376" t="s">
        <v>8688</v>
      </c>
      <c r="C467" s="319">
        <v>3.5000000000000003E-2</v>
      </c>
      <c r="G467" s="63"/>
      <c r="H467" s="63"/>
      <c r="I467" s="63"/>
      <c r="J467" s="141"/>
      <c r="K467" s="63"/>
      <c r="L467" s="63"/>
      <c r="M467" s="63"/>
      <c r="N467" s="63"/>
      <c r="O467" s="63"/>
      <c r="P467" s="63"/>
      <c r="Q467" s="55"/>
      <c r="R467" s="275">
        <f>$C$468/4*400+AVERAGE(R463,R466)*($C$467/4)</f>
        <v>0.25</v>
      </c>
      <c r="S467" s="275">
        <f t="shared" ref="S467:U467" si="400">$C$468/4*400+AVERAGE(S463,S466)*($C$467/4)</f>
        <v>0.25</v>
      </c>
      <c r="T467" s="275">
        <f t="shared" si="400"/>
        <v>0.25</v>
      </c>
      <c r="U467" s="275">
        <f t="shared" si="400"/>
        <v>0.25</v>
      </c>
      <c r="V467" s="55"/>
      <c r="W467" s="275">
        <f>SUM(R467:U467)</f>
        <v>1</v>
      </c>
      <c r="X467" s="275">
        <f>$C$468*400+AVERAGE(X463,X466)*$C$467</f>
        <v>1</v>
      </c>
      <c r="Y467" s="275">
        <f t="shared" ref="Y467:AA467" si="401">$C$468*400+AVERAGE(Y463,Y466)*$C$467</f>
        <v>1</v>
      </c>
      <c r="Z467" s="275">
        <f t="shared" si="401"/>
        <v>1</v>
      </c>
      <c r="AA467" s="275">
        <f t="shared" si="401"/>
        <v>1</v>
      </c>
    </row>
    <row r="468" spans="1:27" x14ac:dyDescent="0.25">
      <c r="A468" s="376" t="s">
        <v>8689</v>
      </c>
      <c r="C468" s="320">
        <v>2.5000000000000001E-3</v>
      </c>
      <c r="G468" s="63"/>
      <c r="H468" s="63"/>
      <c r="I468" s="63"/>
      <c r="J468" s="141"/>
      <c r="K468" s="63"/>
      <c r="L468" s="63"/>
      <c r="M468" s="63"/>
      <c r="N468" s="63"/>
      <c r="O468" s="63"/>
      <c r="P468" s="63"/>
      <c r="Q468" s="55"/>
      <c r="R468" s="63"/>
      <c r="S468" s="63"/>
      <c r="T468" s="63"/>
      <c r="U468" s="63"/>
      <c r="V468" s="55"/>
      <c r="W468" s="63"/>
      <c r="X468" s="63"/>
      <c r="Y468" s="63"/>
      <c r="Z468" s="63"/>
      <c r="AA468" s="63"/>
    </row>
    <row r="469" spans="1:27" x14ac:dyDescent="0.25">
      <c r="A469" s="374"/>
      <c r="G469" s="55"/>
      <c r="H469" s="55"/>
      <c r="I469" s="55"/>
      <c r="J469" s="140"/>
      <c r="K469" s="55"/>
      <c r="L469" s="55"/>
      <c r="M469" s="55"/>
      <c r="N469" s="55"/>
      <c r="O469" s="55"/>
      <c r="P469" s="55"/>
      <c r="Q469" s="55"/>
      <c r="R469" s="55"/>
      <c r="S469" s="55"/>
      <c r="T469" s="55"/>
      <c r="U469" s="55"/>
      <c r="V469" s="55"/>
      <c r="W469" s="55"/>
      <c r="X469" s="55"/>
      <c r="Y469" s="55"/>
      <c r="Z469" s="55"/>
      <c r="AA469" s="55"/>
    </row>
    <row r="470" spans="1:27" x14ac:dyDescent="0.25">
      <c r="A470" s="10" t="s">
        <v>8682</v>
      </c>
      <c r="G470" s="55"/>
      <c r="H470" s="55"/>
      <c r="I470" s="55"/>
      <c r="J470" s="140"/>
      <c r="K470" s="55"/>
      <c r="L470" s="55"/>
      <c r="M470" s="55"/>
      <c r="N470" s="55"/>
      <c r="O470" s="55"/>
      <c r="P470" s="55"/>
      <c r="Q470" s="55"/>
      <c r="R470" s="55"/>
      <c r="S470" s="55"/>
      <c r="T470" s="55"/>
      <c r="U470" s="275"/>
      <c r="V470" s="55"/>
      <c r="W470" s="55"/>
      <c r="X470" s="55"/>
      <c r="Y470" s="55"/>
      <c r="Z470" s="55"/>
      <c r="AA470" s="55"/>
    </row>
    <row r="471" spans="1:27" x14ac:dyDescent="0.25">
      <c r="A471" s="374" t="s">
        <v>312</v>
      </c>
      <c r="G471" s="55">
        <v>0</v>
      </c>
      <c r="H471" s="55">
        <f>G474</f>
        <v>0</v>
      </c>
      <c r="I471" s="55">
        <f t="shared" ref="I471:P471" si="402">H474</f>
        <v>0</v>
      </c>
      <c r="J471" s="140">
        <f t="shared" si="402"/>
        <v>0</v>
      </c>
      <c r="K471" s="55">
        <f t="shared" si="402"/>
        <v>0</v>
      </c>
      <c r="L471" s="55">
        <f t="shared" si="402"/>
        <v>0</v>
      </c>
      <c r="M471" s="55">
        <f t="shared" si="402"/>
        <v>0</v>
      </c>
      <c r="N471" s="55">
        <f t="shared" si="402"/>
        <v>120</v>
      </c>
      <c r="O471" s="55">
        <f t="shared" si="402"/>
        <v>120</v>
      </c>
      <c r="P471" s="55">
        <f t="shared" si="402"/>
        <v>120</v>
      </c>
      <c r="Q471" s="55"/>
      <c r="R471" s="55">
        <f>P474</f>
        <v>120</v>
      </c>
      <c r="S471" s="55">
        <f>R474</f>
        <v>120</v>
      </c>
      <c r="T471" s="55">
        <f t="shared" ref="T471:U471" si="403">S474</f>
        <v>120</v>
      </c>
      <c r="U471" s="55">
        <f t="shared" si="403"/>
        <v>120</v>
      </c>
      <c r="V471" s="55"/>
      <c r="W471" s="55">
        <f>M474</f>
        <v>120</v>
      </c>
      <c r="X471" s="55">
        <f>W474</f>
        <v>120</v>
      </c>
      <c r="Y471" s="55">
        <f t="shared" ref="Y471:AA471" si="404">X474</f>
        <v>120</v>
      </c>
      <c r="Z471" s="55">
        <f t="shared" si="404"/>
        <v>120</v>
      </c>
      <c r="AA471" s="55">
        <f t="shared" si="404"/>
        <v>120</v>
      </c>
    </row>
    <row r="472" spans="1:27" x14ac:dyDescent="0.25">
      <c r="A472" s="375" t="s">
        <v>313</v>
      </c>
      <c r="G472" s="55">
        <v>0</v>
      </c>
      <c r="H472" s="55">
        <v>0</v>
      </c>
      <c r="I472" s="55">
        <v>0</v>
      </c>
      <c r="J472" s="140">
        <v>0</v>
      </c>
      <c r="K472" s="55">
        <v>0</v>
      </c>
      <c r="L472" s="55">
        <v>0</v>
      </c>
      <c r="M472" s="55">
        <v>120</v>
      </c>
      <c r="N472" s="55">
        <v>0</v>
      </c>
      <c r="O472" s="55">
        <v>0</v>
      </c>
      <c r="P472" s="55">
        <v>0</v>
      </c>
      <c r="Q472" s="55"/>
      <c r="R472" s="273">
        <v>0</v>
      </c>
      <c r="S472" s="273">
        <v>0</v>
      </c>
      <c r="T472" s="273">
        <v>0</v>
      </c>
      <c r="U472" s="273">
        <v>0</v>
      </c>
      <c r="V472" s="55"/>
      <c r="W472" s="71">
        <f>SUM(R472:U472)</f>
        <v>0</v>
      </c>
      <c r="X472" s="273">
        <v>0</v>
      </c>
      <c r="Y472" s="273">
        <v>0</v>
      </c>
      <c r="Z472" s="273">
        <v>0</v>
      </c>
      <c r="AA472" s="273">
        <v>0</v>
      </c>
    </row>
    <row r="473" spans="1:27" x14ac:dyDescent="0.25">
      <c r="A473" s="375" t="s">
        <v>314</v>
      </c>
      <c r="G473" s="62">
        <v>0</v>
      </c>
      <c r="H473" s="62">
        <v>0</v>
      </c>
      <c r="I473" s="62">
        <v>0</v>
      </c>
      <c r="J473" s="143">
        <v>0</v>
      </c>
      <c r="K473" s="62">
        <v>0</v>
      </c>
      <c r="L473" s="62">
        <v>0</v>
      </c>
      <c r="M473" s="62">
        <v>0</v>
      </c>
      <c r="N473" s="62">
        <v>0</v>
      </c>
      <c r="O473" s="62">
        <v>0</v>
      </c>
      <c r="P473" s="62">
        <v>0</v>
      </c>
      <c r="Q473" s="55"/>
      <c r="R473" s="93">
        <v>0</v>
      </c>
      <c r="S473" s="93">
        <v>0</v>
      </c>
      <c r="T473" s="93">
        <v>0</v>
      </c>
      <c r="U473" s="93">
        <v>0</v>
      </c>
      <c r="V473" s="55"/>
      <c r="W473" s="62">
        <f>SUM(R473:U473)</f>
        <v>0</v>
      </c>
      <c r="X473" s="93">
        <v>0</v>
      </c>
      <c r="Y473" s="93">
        <v>0</v>
      </c>
      <c r="Z473" s="93">
        <v>0</v>
      </c>
      <c r="AA473" s="93">
        <v>0</v>
      </c>
    </row>
    <row r="474" spans="1:27" s="33" customFormat="1" x14ac:dyDescent="0.25">
      <c r="A474" s="10" t="s">
        <v>315</v>
      </c>
      <c r="G474" s="63">
        <f>SUM(G471:G473)</f>
        <v>0</v>
      </c>
      <c r="H474" s="63">
        <f t="shared" ref="H474:P474" si="405">SUM(H471:H473)</f>
        <v>0</v>
      </c>
      <c r="I474" s="63">
        <f t="shared" si="405"/>
        <v>0</v>
      </c>
      <c r="J474" s="141">
        <f t="shared" si="405"/>
        <v>0</v>
      </c>
      <c r="K474" s="63">
        <f t="shared" si="405"/>
        <v>0</v>
      </c>
      <c r="L474" s="63">
        <f t="shared" si="405"/>
        <v>0</v>
      </c>
      <c r="M474" s="63">
        <f t="shared" si="405"/>
        <v>120</v>
      </c>
      <c r="N474" s="63">
        <f t="shared" si="405"/>
        <v>120</v>
      </c>
      <c r="O474" s="63">
        <f t="shared" si="405"/>
        <v>120</v>
      </c>
      <c r="P474" s="63">
        <f t="shared" si="405"/>
        <v>120</v>
      </c>
      <c r="Q474" s="63"/>
      <c r="R474" s="63">
        <f>SUM(R471:R473)</f>
        <v>120</v>
      </c>
      <c r="S474" s="63">
        <f t="shared" ref="S474" si="406">SUM(S471:S473)</f>
        <v>120</v>
      </c>
      <c r="T474" s="63">
        <f t="shared" ref="T474" si="407">SUM(T471:T473)</f>
        <v>120</v>
      </c>
      <c r="U474" s="63">
        <f t="shared" ref="U474" si="408">SUM(U471:U473)</f>
        <v>120</v>
      </c>
      <c r="V474" s="63"/>
      <c r="W474" s="63">
        <f t="shared" ref="W474" si="409">SUM(W471:W473)</f>
        <v>120</v>
      </c>
      <c r="X474" s="63">
        <f>SUM(X471:X473)</f>
        <v>120</v>
      </c>
      <c r="Y474" s="63">
        <f t="shared" ref="Y474" si="410">SUM(Y471:Y473)</f>
        <v>120</v>
      </c>
      <c r="Z474" s="63">
        <f t="shared" ref="Z474" si="411">SUM(Z471:Z473)</f>
        <v>120</v>
      </c>
      <c r="AA474" s="63">
        <f t="shared" ref="AA474" si="412">SUM(AA471:AA473)</f>
        <v>120</v>
      </c>
    </row>
    <row r="475" spans="1:27" x14ac:dyDescent="0.25">
      <c r="A475" s="377" t="s">
        <v>317</v>
      </c>
      <c r="C475" s="116">
        <v>5.7500000000000002E-2</v>
      </c>
      <c r="G475" s="63"/>
      <c r="H475" s="63"/>
      <c r="I475" s="63"/>
      <c r="J475" s="141"/>
      <c r="K475" s="63"/>
      <c r="L475" s="63"/>
      <c r="M475" s="63"/>
      <c r="N475" s="63"/>
      <c r="O475" s="63"/>
      <c r="P475" s="63"/>
      <c r="Q475" s="55"/>
      <c r="R475" s="275">
        <f>AVERAGE(R471,R474)*($C$475/4)</f>
        <v>1.7250000000000001</v>
      </c>
      <c r="S475" s="275">
        <f>AVERAGE(S471,S474)*($C$475/4)</f>
        <v>1.7250000000000001</v>
      </c>
      <c r="T475" s="275">
        <f>AVERAGE(T471,T474)*($C$475/4)</f>
        <v>1.7250000000000001</v>
      </c>
      <c r="U475" s="275">
        <f>AVERAGE(U471,U474)*($C$475/4)</f>
        <v>1.7250000000000001</v>
      </c>
      <c r="V475" s="55"/>
      <c r="W475" s="275">
        <f>SUM(R475:U475)</f>
        <v>6.9</v>
      </c>
      <c r="X475" s="275">
        <f>AVERAGE(X471,X474)*$C$475</f>
        <v>6.9</v>
      </c>
      <c r="Y475" s="275">
        <f t="shared" ref="Y475:AA475" si="413">AVERAGE(Y471,Y474)*$C$475</f>
        <v>6.9</v>
      </c>
      <c r="Z475" s="275">
        <f t="shared" si="413"/>
        <v>6.9</v>
      </c>
      <c r="AA475" s="275">
        <f t="shared" si="413"/>
        <v>6.9</v>
      </c>
    </row>
    <row r="476" spans="1:27" x14ac:dyDescent="0.25">
      <c r="A476" s="377"/>
      <c r="G476" s="63"/>
      <c r="H476" s="63"/>
      <c r="I476" s="63"/>
      <c r="J476" s="141"/>
      <c r="K476" s="63"/>
      <c r="L476" s="63"/>
      <c r="M476" s="63"/>
      <c r="N476" s="63"/>
      <c r="O476" s="63"/>
      <c r="P476" s="63"/>
      <c r="Q476" s="55"/>
      <c r="R476" s="63"/>
      <c r="S476" s="63"/>
      <c r="T476" s="63"/>
      <c r="U476" s="63"/>
      <c r="V476" s="55"/>
      <c r="W476" s="63"/>
      <c r="X476" s="63"/>
      <c r="Y476" s="63"/>
      <c r="Z476" s="63"/>
      <c r="AA476" s="63"/>
    </row>
    <row r="477" spans="1:27" x14ac:dyDescent="0.25">
      <c r="A477" s="10" t="s">
        <v>318</v>
      </c>
      <c r="G477" s="63"/>
      <c r="H477" s="63"/>
      <c r="I477" s="63"/>
      <c r="J477" s="141"/>
      <c r="K477" s="63"/>
      <c r="L477" s="63"/>
      <c r="M477" s="63"/>
      <c r="N477" s="63"/>
      <c r="O477" s="63"/>
      <c r="P477" s="63"/>
      <c r="Q477" s="55"/>
      <c r="R477" s="63"/>
      <c r="S477" s="63"/>
      <c r="T477" s="63"/>
      <c r="U477" s="63"/>
      <c r="V477" s="55"/>
      <c r="W477" s="63"/>
      <c r="X477" s="63"/>
      <c r="Y477" s="63"/>
      <c r="Z477" s="63"/>
      <c r="AA477" s="63"/>
    </row>
    <row r="478" spans="1:27" x14ac:dyDescent="0.25">
      <c r="A478" s="374" t="s">
        <v>312</v>
      </c>
      <c r="G478" s="55">
        <v>115.714</v>
      </c>
      <c r="H478" s="55">
        <f t="shared" ref="H478:L478" si="414">G481</f>
        <v>111.429</v>
      </c>
      <c r="I478" s="55">
        <f t="shared" si="414"/>
        <v>104.286</v>
      </c>
      <c r="J478" s="140">
        <f t="shared" si="414"/>
        <v>93.570999999999998</v>
      </c>
      <c r="K478" s="55">
        <f t="shared" si="414"/>
        <v>93.570999999999998</v>
      </c>
      <c r="L478" s="55">
        <f t="shared" si="414"/>
        <v>0</v>
      </c>
      <c r="M478" s="55">
        <f>L481</f>
        <v>0</v>
      </c>
      <c r="N478" s="55">
        <f>M481</f>
        <v>0</v>
      </c>
      <c r="O478" s="55">
        <f>N481</f>
        <v>0</v>
      </c>
      <c r="P478" s="55">
        <f>O481</f>
        <v>0</v>
      </c>
      <c r="Q478" s="55"/>
      <c r="R478" s="55">
        <f>P481</f>
        <v>0</v>
      </c>
      <c r="S478" s="55">
        <f>R481</f>
        <v>0</v>
      </c>
      <c r="T478" s="55">
        <f t="shared" ref="T478" si="415">S481</f>
        <v>0</v>
      </c>
      <c r="U478" s="55">
        <f t="shared" ref="U478" si="416">T481</f>
        <v>0</v>
      </c>
      <c r="V478" s="55"/>
      <c r="W478" s="55">
        <f>M481</f>
        <v>0</v>
      </c>
      <c r="X478" s="55">
        <f>W481</f>
        <v>0</v>
      </c>
      <c r="Y478" s="55">
        <f t="shared" ref="Y478" si="417">X481</f>
        <v>0</v>
      </c>
      <c r="Z478" s="55">
        <f t="shared" ref="Z478" si="418">Y481</f>
        <v>0</v>
      </c>
      <c r="AA478" s="55">
        <f t="shared" ref="AA478" si="419">Z481</f>
        <v>0</v>
      </c>
    </row>
    <row r="479" spans="1:27" x14ac:dyDescent="0.25">
      <c r="A479" s="375" t="s">
        <v>313</v>
      </c>
      <c r="G479" s="55">
        <v>0</v>
      </c>
      <c r="H479" s="55">
        <v>0</v>
      </c>
      <c r="I479" s="55">
        <v>0</v>
      </c>
      <c r="J479" s="140">
        <v>0</v>
      </c>
      <c r="K479" s="55">
        <v>0</v>
      </c>
      <c r="L479" s="55">
        <v>0</v>
      </c>
      <c r="M479" s="55">
        <v>0</v>
      </c>
      <c r="N479" s="55">
        <v>0</v>
      </c>
      <c r="O479" s="55">
        <v>0</v>
      </c>
      <c r="P479" s="55">
        <v>0</v>
      </c>
      <c r="Q479" s="55"/>
      <c r="R479" s="140">
        <v>0</v>
      </c>
      <c r="S479" s="140">
        <v>0</v>
      </c>
      <c r="T479" s="140">
        <v>0</v>
      </c>
      <c r="U479" s="140">
        <v>0</v>
      </c>
      <c r="V479" s="140"/>
      <c r="W479" s="267">
        <f>SUM(R479:U479)</f>
        <v>0</v>
      </c>
      <c r="X479" s="140">
        <v>0</v>
      </c>
      <c r="Y479" s="140">
        <v>0</v>
      </c>
      <c r="Z479" s="140">
        <v>0</v>
      </c>
      <c r="AA479" s="140">
        <v>0</v>
      </c>
    </row>
    <row r="480" spans="1:27" x14ac:dyDescent="0.25">
      <c r="A480" s="375" t="s">
        <v>314</v>
      </c>
      <c r="G480" s="62">
        <f>G481-G478</f>
        <v>-4.2849999999999966</v>
      </c>
      <c r="H480" s="62">
        <f>H481-H478</f>
        <v>-7.1430000000000007</v>
      </c>
      <c r="I480" s="62">
        <f>I481-I478</f>
        <v>-10.715000000000003</v>
      </c>
      <c r="J480" s="143">
        <f>J481-J478</f>
        <v>0</v>
      </c>
      <c r="K480" s="62">
        <v>-93.570999999999998</v>
      </c>
      <c r="L480" s="62">
        <v>0</v>
      </c>
      <c r="M480" s="62">
        <v>0</v>
      </c>
      <c r="N480" s="62">
        <v>0</v>
      </c>
      <c r="O480" s="62">
        <v>0</v>
      </c>
      <c r="P480" s="62">
        <v>0</v>
      </c>
      <c r="Q480" s="55"/>
      <c r="R480" s="143">
        <v>0</v>
      </c>
      <c r="S480" s="143">
        <v>0</v>
      </c>
      <c r="T480" s="143">
        <v>0</v>
      </c>
      <c r="U480" s="143">
        <v>0</v>
      </c>
      <c r="V480" s="140"/>
      <c r="W480" s="143">
        <f>SUM(R480:U480)</f>
        <v>0</v>
      </c>
      <c r="X480" s="143">
        <v>0</v>
      </c>
      <c r="Y480" s="143">
        <v>0</v>
      </c>
      <c r="Z480" s="143">
        <v>0</v>
      </c>
      <c r="AA480" s="143">
        <v>0</v>
      </c>
    </row>
    <row r="481" spans="1:27" s="33" customFormat="1" x14ac:dyDescent="0.25">
      <c r="A481" s="10" t="s">
        <v>315</v>
      </c>
      <c r="G481" s="63">
        <v>111.429</v>
      </c>
      <c r="H481" s="63">
        <v>104.286</v>
      </c>
      <c r="I481" s="63">
        <v>93.570999999999998</v>
      </c>
      <c r="J481" s="141">
        <v>93.570999999999998</v>
      </c>
      <c r="K481" s="63">
        <f t="shared" ref="K481:L481" si="420">SUM(K478:K480)</f>
        <v>0</v>
      </c>
      <c r="L481" s="63">
        <f t="shared" si="420"/>
        <v>0</v>
      </c>
      <c r="M481" s="63">
        <f>SUM(M478:M480)</f>
        <v>0</v>
      </c>
      <c r="N481" s="63">
        <f>SUM(N478:N480)</f>
        <v>0</v>
      </c>
      <c r="O481" s="63">
        <f>SUM(O478:O480)</f>
        <v>0</v>
      </c>
      <c r="P481" s="63">
        <f>SUM(P478:P480)</f>
        <v>0</v>
      </c>
      <c r="Q481" s="63"/>
      <c r="R481" s="63">
        <f>SUM(R478:R480)</f>
        <v>0</v>
      </c>
      <c r="S481" s="63">
        <f t="shared" ref="S481:U481" si="421">SUM(S478:S480)</f>
        <v>0</v>
      </c>
      <c r="T481" s="63">
        <f t="shared" si="421"/>
        <v>0</v>
      </c>
      <c r="U481" s="63">
        <f t="shared" si="421"/>
        <v>0</v>
      </c>
      <c r="V481" s="63"/>
      <c r="W481" s="63">
        <f t="shared" ref="W481" si="422">SUM(W478:W480)</f>
        <v>0</v>
      </c>
      <c r="X481" s="63">
        <f>SUM(X478:X480)</f>
        <v>0</v>
      </c>
      <c r="Y481" s="63">
        <f t="shared" ref="Y481:AA481" si="423">SUM(Y478:Y480)</f>
        <v>0</v>
      </c>
      <c r="Z481" s="63">
        <f t="shared" si="423"/>
        <v>0</v>
      </c>
      <c r="AA481" s="63">
        <f t="shared" si="423"/>
        <v>0</v>
      </c>
    </row>
    <row r="482" spans="1:27" x14ac:dyDescent="0.25">
      <c r="A482" s="377" t="s">
        <v>317</v>
      </c>
      <c r="G482" s="55"/>
      <c r="H482" s="55"/>
      <c r="I482" s="55"/>
      <c r="J482" s="140"/>
      <c r="K482" s="55"/>
      <c r="L482" s="55"/>
      <c r="M482" s="55"/>
      <c r="N482" s="55"/>
      <c r="O482" s="55"/>
      <c r="P482" s="55"/>
      <c r="Q482" s="55"/>
      <c r="R482" s="55"/>
      <c r="S482" s="55"/>
      <c r="T482" s="55"/>
      <c r="U482" s="55"/>
      <c r="V482" s="55"/>
      <c r="W482" s="55"/>
      <c r="X482" s="55"/>
      <c r="Y482" s="55"/>
      <c r="Z482" s="55"/>
      <c r="AA482" s="55"/>
    </row>
    <row r="483" spans="1:27" x14ac:dyDescent="0.25">
      <c r="A483" s="377"/>
      <c r="G483" s="55"/>
      <c r="H483" s="55"/>
      <c r="I483" s="55"/>
      <c r="J483" s="140"/>
      <c r="K483" s="55"/>
      <c r="L483" s="55"/>
      <c r="M483" s="55"/>
      <c r="N483" s="55"/>
      <c r="O483" s="55"/>
      <c r="P483" s="55"/>
      <c r="Q483" s="55"/>
      <c r="R483" s="55"/>
      <c r="S483" s="55"/>
      <c r="T483" s="55"/>
      <c r="U483" s="55"/>
      <c r="V483" s="55"/>
      <c r="W483" s="55"/>
      <c r="X483" s="55"/>
      <c r="Y483" s="55"/>
      <c r="Z483" s="55"/>
      <c r="AA483" s="55"/>
    </row>
    <row r="484" spans="1:27" x14ac:dyDescent="0.25">
      <c r="A484" s="10" t="s">
        <v>320</v>
      </c>
      <c r="G484" s="55"/>
      <c r="H484" s="55"/>
      <c r="I484" s="55"/>
      <c r="J484" s="140"/>
      <c r="K484" s="55"/>
      <c r="L484" s="55"/>
      <c r="M484" s="55"/>
      <c r="N484" s="55"/>
      <c r="O484" s="55"/>
      <c r="P484" s="55"/>
      <c r="Q484" s="55"/>
      <c r="R484" s="55"/>
      <c r="S484" s="55"/>
      <c r="T484" s="55"/>
      <c r="U484" s="55"/>
      <c r="V484" s="55"/>
      <c r="W484" s="55"/>
      <c r="X484" s="55"/>
      <c r="Y484" s="55"/>
      <c r="Z484" s="55"/>
      <c r="AA484" s="55"/>
    </row>
    <row r="485" spans="1:27" x14ac:dyDescent="0.25">
      <c r="A485" s="374" t="s">
        <v>312</v>
      </c>
      <c r="G485" s="55">
        <v>172.5</v>
      </c>
      <c r="H485" s="55">
        <f>G488</f>
        <v>172.5</v>
      </c>
      <c r="I485" s="55">
        <f t="shared" ref="I485:P485" si="424">H488</f>
        <v>172.5</v>
      </c>
      <c r="J485" s="140">
        <f t="shared" si="424"/>
        <v>172.5</v>
      </c>
      <c r="K485" s="55">
        <f t="shared" si="424"/>
        <v>172.5</v>
      </c>
      <c r="L485" s="55">
        <f t="shared" si="424"/>
        <v>172.5</v>
      </c>
      <c r="M485" s="55">
        <f t="shared" si="424"/>
        <v>172.5</v>
      </c>
      <c r="N485" s="55">
        <f t="shared" si="424"/>
        <v>172.5</v>
      </c>
      <c r="O485" s="55">
        <f t="shared" si="424"/>
        <v>172.5</v>
      </c>
      <c r="P485" s="55">
        <f t="shared" si="424"/>
        <v>172.5</v>
      </c>
      <c r="Q485" s="55"/>
      <c r="R485" s="55">
        <f>P488</f>
        <v>0</v>
      </c>
      <c r="S485" s="55">
        <f>R488</f>
        <v>0</v>
      </c>
      <c r="T485" s="55">
        <f>S488</f>
        <v>0</v>
      </c>
      <c r="U485" s="55">
        <f>T488</f>
        <v>0</v>
      </c>
      <c r="V485" s="55"/>
      <c r="W485" s="55">
        <f>S485</f>
        <v>0</v>
      </c>
      <c r="X485" s="55">
        <f>W488</f>
        <v>0</v>
      </c>
      <c r="Y485" s="55">
        <f t="shared" ref="Y485:AA485" si="425">X488</f>
        <v>0</v>
      </c>
      <c r="Z485" s="55">
        <f t="shared" si="425"/>
        <v>0</v>
      </c>
      <c r="AA485" s="55">
        <f t="shared" si="425"/>
        <v>0</v>
      </c>
    </row>
    <row r="486" spans="1:27" x14ac:dyDescent="0.25">
      <c r="A486" s="375" t="s">
        <v>313</v>
      </c>
      <c r="G486" s="55">
        <v>0</v>
      </c>
      <c r="H486" s="55">
        <v>0</v>
      </c>
      <c r="I486" s="55">
        <v>0</v>
      </c>
      <c r="J486" s="140">
        <v>0</v>
      </c>
      <c r="K486" s="55">
        <v>0</v>
      </c>
      <c r="L486" s="55">
        <v>0</v>
      </c>
      <c r="M486" s="55">
        <v>0</v>
      </c>
      <c r="N486" s="55">
        <v>0</v>
      </c>
      <c r="O486" s="55">
        <v>0</v>
      </c>
      <c r="P486" s="55">
        <v>0</v>
      </c>
      <c r="Q486" s="55"/>
      <c r="R486" s="273">
        <v>0</v>
      </c>
      <c r="S486" s="273">
        <v>0</v>
      </c>
      <c r="T486" s="273">
        <v>0</v>
      </c>
      <c r="U486" s="273">
        <v>0</v>
      </c>
      <c r="V486" s="55"/>
      <c r="W486" s="71">
        <f>SUM(R486:U486)</f>
        <v>0</v>
      </c>
      <c r="X486" s="273">
        <v>0</v>
      </c>
      <c r="Y486" s="273">
        <v>0</v>
      </c>
      <c r="Z486" s="273">
        <v>0</v>
      </c>
      <c r="AA486" s="273">
        <v>0</v>
      </c>
    </row>
    <row r="487" spans="1:27" x14ac:dyDescent="0.25">
      <c r="A487" s="375" t="s">
        <v>314</v>
      </c>
      <c r="G487" s="62">
        <v>0</v>
      </c>
      <c r="H487" s="62">
        <v>0</v>
      </c>
      <c r="I487" s="62">
        <v>0</v>
      </c>
      <c r="J487" s="143">
        <v>0</v>
      </c>
      <c r="K487" s="62">
        <v>0</v>
      </c>
      <c r="L487" s="62">
        <v>0</v>
      </c>
      <c r="M487" s="62">
        <v>0</v>
      </c>
      <c r="N487" s="62">
        <v>0</v>
      </c>
      <c r="O487" s="62">
        <v>0</v>
      </c>
      <c r="P487" s="62">
        <v>-172.5</v>
      </c>
      <c r="Q487" s="55"/>
      <c r="R487" s="93">
        <v>0</v>
      </c>
      <c r="S487" s="93">
        <v>0</v>
      </c>
      <c r="T487" s="93">
        <v>0</v>
      </c>
      <c r="U487" s="93">
        <v>0</v>
      </c>
      <c r="V487" s="55"/>
      <c r="W487" s="62">
        <f>SUM(R487:U487)</f>
        <v>0</v>
      </c>
      <c r="X487" s="93">
        <v>0</v>
      </c>
      <c r="Y487" s="93">
        <v>0</v>
      </c>
      <c r="Z487" s="93">
        <v>0</v>
      </c>
      <c r="AA487" s="93">
        <v>0</v>
      </c>
    </row>
    <row r="488" spans="1:27" s="33" customFormat="1" x14ac:dyDescent="0.25">
      <c r="A488" s="10" t="s">
        <v>315</v>
      </c>
      <c r="G488" s="63">
        <f t="shared" ref="G488:H488" si="426">SUM(G485:G487)</f>
        <v>172.5</v>
      </c>
      <c r="H488" s="63">
        <f t="shared" si="426"/>
        <v>172.5</v>
      </c>
      <c r="I488" s="63">
        <f t="shared" ref="I488" si="427">SUM(I485:I487)</f>
        <v>172.5</v>
      </c>
      <c r="J488" s="141">
        <f t="shared" ref="J488" si="428">SUM(J485:J487)</f>
        <v>172.5</v>
      </c>
      <c r="K488" s="63">
        <f t="shared" ref="K488" si="429">SUM(K485:K487)</f>
        <v>172.5</v>
      </c>
      <c r="L488" s="63">
        <f t="shared" ref="L488" si="430">SUM(L485:L487)</f>
        <v>172.5</v>
      </c>
      <c r="M488" s="63">
        <f t="shared" ref="M488:O488" si="431">SUM(M485:M487)</f>
        <v>172.5</v>
      </c>
      <c r="N488" s="63">
        <f t="shared" si="431"/>
        <v>172.5</v>
      </c>
      <c r="O488" s="63">
        <f t="shared" si="431"/>
        <v>172.5</v>
      </c>
      <c r="P488" s="63">
        <f t="shared" ref="P488" si="432">SUM(P485:P487)</f>
        <v>0</v>
      </c>
      <c r="Q488" s="63"/>
      <c r="R488" s="63">
        <f>SUM(R485:R487)</f>
        <v>0</v>
      </c>
      <c r="S488" s="63">
        <f t="shared" ref="S488" si="433">SUM(S485:S487)</f>
        <v>0</v>
      </c>
      <c r="T488" s="63">
        <f t="shared" ref="T488" si="434">SUM(T485:T487)</f>
        <v>0</v>
      </c>
      <c r="U488" s="63">
        <f t="shared" ref="U488" si="435">SUM(U485:U487)</f>
        <v>0</v>
      </c>
      <c r="V488" s="55"/>
      <c r="W488" s="63">
        <f t="shared" ref="W488" si="436">SUM(W485:W487)</f>
        <v>0</v>
      </c>
      <c r="X488" s="63">
        <f>SUM(X485:X487)</f>
        <v>0</v>
      </c>
      <c r="Y488" s="63">
        <f t="shared" ref="Y488" si="437">SUM(Y485:Y487)</f>
        <v>0</v>
      </c>
      <c r="Z488" s="63">
        <f t="shared" ref="Z488" si="438">SUM(Z485:Z487)</f>
        <v>0</v>
      </c>
      <c r="AA488" s="63">
        <f t="shared" ref="AA488" si="439">SUM(AA485:AA487)</f>
        <v>0</v>
      </c>
    </row>
    <row r="489" spans="1:27" s="115" customFormat="1" x14ac:dyDescent="0.25">
      <c r="A489" s="377" t="s">
        <v>317</v>
      </c>
      <c r="C489" s="116">
        <v>0.05</v>
      </c>
      <c r="G489" s="274"/>
      <c r="H489" s="274"/>
      <c r="I489" s="274"/>
      <c r="J489" s="140"/>
      <c r="K489" s="274"/>
      <c r="L489" s="274"/>
      <c r="M489" s="274"/>
      <c r="N489" s="274"/>
      <c r="O489" s="274"/>
      <c r="P489" s="274"/>
      <c r="Q489" s="274"/>
      <c r="R489" s="275">
        <f>AVERAGE(R485,R488)*($C$489/4)</f>
        <v>0</v>
      </c>
      <c r="S489" s="275">
        <f t="shared" ref="S489:U489" si="440">AVERAGE(S485,S488)*($C$489/4)</f>
        <v>0</v>
      </c>
      <c r="T489" s="275">
        <f t="shared" si="440"/>
        <v>0</v>
      </c>
      <c r="U489" s="275">
        <f t="shared" si="440"/>
        <v>0</v>
      </c>
      <c r="V489" s="274"/>
      <c r="W489" s="274">
        <f>SUM(R489:U489)</f>
        <v>0</v>
      </c>
      <c r="X489" s="274">
        <v>0</v>
      </c>
      <c r="Y489" s="274">
        <v>0</v>
      </c>
      <c r="Z489" s="274">
        <v>0</v>
      </c>
      <c r="AA489" s="274">
        <v>0</v>
      </c>
    </row>
    <row r="490" spans="1:27" x14ac:dyDescent="0.25">
      <c r="A490" s="348"/>
      <c r="G490" s="55"/>
      <c r="H490" s="55"/>
      <c r="I490" s="55"/>
      <c r="J490" s="140"/>
      <c r="K490" s="55"/>
      <c r="L490" s="55"/>
      <c r="M490" s="55"/>
      <c r="N490" s="55"/>
      <c r="O490" s="55"/>
      <c r="P490" s="55"/>
      <c r="Q490" s="55"/>
      <c r="R490" s="55"/>
      <c r="S490" s="55"/>
      <c r="T490" s="55"/>
      <c r="U490" s="55"/>
      <c r="V490" s="55"/>
      <c r="W490" s="55"/>
      <c r="X490" s="55"/>
      <c r="Y490" s="55"/>
      <c r="Z490" s="55"/>
      <c r="AA490" s="55"/>
    </row>
    <row r="491" spans="1:27" x14ac:dyDescent="0.25">
      <c r="A491" s="10" t="s">
        <v>316</v>
      </c>
      <c r="G491" s="55"/>
      <c r="H491" s="55"/>
      <c r="I491" s="55"/>
      <c r="J491" s="140"/>
      <c r="K491" s="55"/>
      <c r="L491" s="55"/>
      <c r="M491" s="55"/>
      <c r="N491" s="55"/>
      <c r="O491" s="55"/>
      <c r="P491" s="55"/>
      <c r="Q491" s="55"/>
      <c r="R491" s="55"/>
      <c r="S491" s="55"/>
      <c r="T491" s="55"/>
      <c r="U491" s="55"/>
      <c r="V491" s="55"/>
      <c r="W491" s="55"/>
      <c r="X491" s="55"/>
      <c r="Y491" s="55"/>
      <c r="Z491" s="55"/>
      <c r="AA491" s="55"/>
    </row>
    <row r="492" spans="1:27" x14ac:dyDescent="0.25">
      <c r="A492" s="374" t="s">
        <v>312</v>
      </c>
      <c r="G492" s="55">
        <v>16.312000000000001</v>
      </c>
      <c r="H492" s="55">
        <f t="shared" ref="H492:P492" si="441">G495</f>
        <v>14.78</v>
      </c>
      <c r="I492" s="55">
        <f t="shared" si="441"/>
        <v>13.218999999999999</v>
      </c>
      <c r="J492" s="140">
        <f t="shared" si="441"/>
        <v>11.62</v>
      </c>
      <c r="K492" s="55">
        <f t="shared" si="441"/>
        <v>9.9849999999999994</v>
      </c>
      <c r="L492" s="55">
        <f t="shared" si="441"/>
        <v>8.3160000000000007</v>
      </c>
      <c r="M492" s="55">
        <f t="shared" si="441"/>
        <v>6.61</v>
      </c>
      <c r="N492" s="55">
        <f t="shared" si="441"/>
        <v>4.8639999999999999</v>
      </c>
      <c r="O492" s="55">
        <f t="shared" si="441"/>
        <v>3.0819999999999999</v>
      </c>
      <c r="P492" s="55">
        <f t="shared" si="441"/>
        <v>1.2569999999999999</v>
      </c>
      <c r="Q492" s="55"/>
      <c r="R492" s="55">
        <f>P495</f>
        <v>1.4E-2</v>
      </c>
      <c r="S492" s="55">
        <f>R495</f>
        <v>1.4E-2</v>
      </c>
      <c r="T492" s="55">
        <f t="shared" ref="T492:U492" si="442">S495</f>
        <v>0</v>
      </c>
      <c r="U492" s="55">
        <f t="shared" si="442"/>
        <v>0</v>
      </c>
      <c r="V492" s="55"/>
      <c r="W492" s="55">
        <f>U492</f>
        <v>0</v>
      </c>
      <c r="X492" s="55">
        <f>W495</f>
        <v>0</v>
      </c>
      <c r="Y492" s="55">
        <f t="shared" ref="Y492:AA492" si="443">X495</f>
        <v>0</v>
      </c>
      <c r="Z492" s="55">
        <f t="shared" si="443"/>
        <v>0</v>
      </c>
      <c r="AA492" s="55">
        <f t="shared" si="443"/>
        <v>0</v>
      </c>
    </row>
    <row r="493" spans="1:27" x14ac:dyDescent="0.25">
      <c r="A493" s="375" t="s">
        <v>313</v>
      </c>
      <c r="G493" s="55">
        <v>0</v>
      </c>
      <c r="H493" s="55">
        <v>0</v>
      </c>
      <c r="I493" s="55">
        <v>0</v>
      </c>
      <c r="J493" s="140">
        <v>0</v>
      </c>
      <c r="K493" s="55">
        <v>0</v>
      </c>
      <c r="L493" s="55">
        <v>0</v>
      </c>
      <c r="M493" s="55">
        <v>0</v>
      </c>
      <c r="N493" s="55">
        <v>0</v>
      </c>
      <c r="O493" s="55">
        <v>0</v>
      </c>
      <c r="P493" s="55">
        <v>0</v>
      </c>
      <c r="Q493" s="55"/>
      <c r="R493" s="273">
        <v>0</v>
      </c>
      <c r="S493" s="273">
        <v>0</v>
      </c>
      <c r="T493" s="273">
        <v>0</v>
      </c>
      <c r="U493" s="273">
        <v>0</v>
      </c>
      <c r="V493" s="55"/>
      <c r="W493" s="71">
        <f>U493</f>
        <v>0</v>
      </c>
      <c r="X493" s="273">
        <v>0</v>
      </c>
      <c r="Y493" s="273">
        <v>0</v>
      </c>
      <c r="Z493" s="273">
        <v>0</v>
      </c>
      <c r="AA493" s="273">
        <v>0</v>
      </c>
    </row>
    <row r="494" spans="1:27" x14ac:dyDescent="0.25">
      <c r="A494" s="375" t="s">
        <v>314</v>
      </c>
      <c r="G494" s="62">
        <f t="shared" ref="G494:P494" si="444">G495-G492</f>
        <v>-1.5320000000000018</v>
      </c>
      <c r="H494" s="62">
        <f t="shared" si="444"/>
        <v>-1.5609999999999999</v>
      </c>
      <c r="I494" s="62">
        <f t="shared" si="444"/>
        <v>-1.5990000000000002</v>
      </c>
      <c r="J494" s="143">
        <f t="shared" si="444"/>
        <v>-1.6349999999999998</v>
      </c>
      <c r="K494" s="62">
        <f t="shared" si="444"/>
        <v>-1.6689999999999987</v>
      </c>
      <c r="L494" s="62">
        <f t="shared" si="444"/>
        <v>-1.7060000000000004</v>
      </c>
      <c r="M494" s="62">
        <f t="shared" si="444"/>
        <v>-1.7460000000000004</v>
      </c>
      <c r="N494" s="62">
        <f t="shared" si="444"/>
        <v>-1.782</v>
      </c>
      <c r="O494" s="62">
        <f t="shared" si="444"/>
        <v>-1.825</v>
      </c>
      <c r="P494" s="62">
        <f t="shared" si="444"/>
        <v>-1.2429999999999999</v>
      </c>
      <c r="Q494" s="55"/>
      <c r="R494" s="93">
        <v>0</v>
      </c>
      <c r="S494" s="93">
        <f>-R495</f>
        <v>-1.4E-2</v>
      </c>
      <c r="T494" s="93">
        <v>0</v>
      </c>
      <c r="U494" s="93">
        <v>0</v>
      </c>
      <c r="V494" s="55"/>
      <c r="W494" s="62">
        <f>U494</f>
        <v>0</v>
      </c>
      <c r="X494" s="93">
        <v>0</v>
      </c>
      <c r="Y494" s="93">
        <v>0</v>
      </c>
      <c r="Z494" s="93">
        <v>0</v>
      </c>
      <c r="AA494" s="93">
        <v>0</v>
      </c>
    </row>
    <row r="495" spans="1:27" s="33" customFormat="1" x14ac:dyDescent="0.25">
      <c r="A495" s="10" t="s">
        <v>315</v>
      </c>
      <c r="G495" s="63">
        <v>14.78</v>
      </c>
      <c r="H495" s="63">
        <v>13.218999999999999</v>
      </c>
      <c r="I495" s="63">
        <v>11.62</v>
      </c>
      <c r="J495" s="141">
        <v>9.9849999999999994</v>
      </c>
      <c r="K495" s="63">
        <v>8.3160000000000007</v>
      </c>
      <c r="L495" s="63">
        <v>6.61</v>
      </c>
      <c r="M495" s="63">
        <v>4.8639999999999999</v>
      </c>
      <c r="N495" s="63">
        <v>3.0819999999999999</v>
      </c>
      <c r="O495" s="63">
        <v>1.2569999999999999</v>
      </c>
      <c r="P495" s="63">
        <v>1.4E-2</v>
      </c>
      <c r="Q495" s="63"/>
      <c r="R495" s="63">
        <f>SUM(R492:R494)</f>
        <v>1.4E-2</v>
      </c>
      <c r="S495" s="63">
        <f t="shared" ref="S495" si="445">SUM(S492:S494)</f>
        <v>0</v>
      </c>
      <c r="T495" s="63">
        <f t="shared" ref="T495" si="446">SUM(T492:T494)</f>
        <v>0</v>
      </c>
      <c r="U495" s="63">
        <f t="shared" ref="U495" si="447">SUM(U492:U494)</f>
        <v>0</v>
      </c>
      <c r="V495" s="55"/>
      <c r="W495" s="63">
        <f t="shared" ref="W495" si="448">SUM(W492:W494)</f>
        <v>0</v>
      </c>
      <c r="X495" s="63">
        <f>SUM(X492:X494)</f>
        <v>0</v>
      </c>
      <c r="Y495" s="63">
        <f t="shared" ref="Y495" si="449">SUM(Y492:Y494)</f>
        <v>0</v>
      </c>
      <c r="Z495" s="63">
        <f t="shared" ref="Z495" si="450">SUM(Z492:Z494)</f>
        <v>0</v>
      </c>
      <c r="AA495" s="63">
        <f t="shared" ref="AA495" si="451">SUM(AA492:AA494)</f>
        <v>0</v>
      </c>
    </row>
    <row r="496" spans="1:27" x14ac:dyDescent="0.25">
      <c r="A496" s="377" t="s">
        <v>317</v>
      </c>
    </row>
    <row r="497" spans="1:27" x14ac:dyDescent="0.25">
      <c r="A497" s="114"/>
    </row>
    <row r="498" spans="1:27" x14ac:dyDescent="0.25">
      <c r="A498" s="39" t="s">
        <v>8753</v>
      </c>
      <c r="B498" s="40"/>
      <c r="C498" s="40"/>
      <c r="D498" s="40"/>
      <c r="E498" s="40"/>
      <c r="F498" s="40"/>
      <c r="G498" s="40"/>
      <c r="H498" s="40"/>
      <c r="I498" s="40"/>
      <c r="J498" s="40"/>
      <c r="K498" s="40"/>
      <c r="L498" s="40"/>
      <c r="M498" s="40"/>
      <c r="N498" s="40"/>
      <c r="O498" s="40"/>
      <c r="P498" s="40"/>
      <c r="Q498" s="41"/>
      <c r="R498" s="41"/>
      <c r="S498" s="41"/>
      <c r="T498" s="41"/>
      <c r="U498" s="41"/>
      <c r="V498" s="41"/>
      <c r="W498" s="41"/>
      <c r="X498" s="41"/>
      <c r="Y498" s="41"/>
      <c r="Z498" s="41"/>
      <c r="AA498" s="42"/>
    </row>
    <row r="499" spans="1:27" x14ac:dyDescent="0.25">
      <c r="A499" s="14"/>
    </row>
    <row r="500" spans="1:27" x14ac:dyDescent="0.25">
      <c r="A500" s="26" t="s">
        <v>182</v>
      </c>
      <c r="W500" s="82"/>
    </row>
    <row r="501" spans="1:27" x14ac:dyDescent="0.25">
      <c r="A501" s="15" t="s">
        <v>183</v>
      </c>
      <c r="D501" s="20">
        <v>1023</v>
      </c>
      <c r="E501" s="20">
        <f>D511</f>
        <v>1016</v>
      </c>
      <c r="F501" s="20">
        <f>E511</f>
        <v>1002</v>
      </c>
      <c r="G501" s="20">
        <f>F511</f>
        <v>978</v>
      </c>
      <c r="H501" s="20">
        <v>953</v>
      </c>
      <c r="I501" s="20">
        <f t="shared" ref="I501:P501" si="452">H511</f>
        <v>937</v>
      </c>
      <c r="J501" s="20">
        <f t="shared" si="452"/>
        <v>912</v>
      </c>
      <c r="K501" s="20">
        <f t="shared" si="452"/>
        <v>882</v>
      </c>
      <c r="L501" s="20">
        <f t="shared" si="452"/>
        <v>862</v>
      </c>
      <c r="M501" s="20">
        <f t="shared" si="452"/>
        <v>856</v>
      </c>
      <c r="N501" s="20">
        <f t="shared" si="452"/>
        <v>849</v>
      </c>
      <c r="O501" s="20">
        <f t="shared" si="452"/>
        <v>827</v>
      </c>
      <c r="P501" s="20">
        <f t="shared" si="452"/>
        <v>816</v>
      </c>
      <c r="R501" s="20">
        <f>P511</f>
        <v>808</v>
      </c>
      <c r="S501" s="20">
        <f>R511</f>
        <v>808</v>
      </c>
      <c r="T501" s="20">
        <f t="shared" ref="T501:U501" si="453">S511</f>
        <v>808</v>
      </c>
      <c r="U501" s="20">
        <f t="shared" si="453"/>
        <v>808</v>
      </c>
      <c r="W501" s="246">
        <f>R501</f>
        <v>808</v>
      </c>
      <c r="X501" s="20">
        <f>W511</f>
        <v>808</v>
      </c>
      <c r="Y501" s="20">
        <f>X511</f>
        <v>808</v>
      </c>
      <c r="Z501" s="20">
        <f t="shared" ref="Z501:AA501" si="454">Y511</f>
        <v>808</v>
      </c>
      <c r="AA501" s="20">
        <f t="shared" si="454"/>
        <v>808</v>
      </c>
    </row>
    <row r="502" spans="1:27" x14ac:dyDescent="0.25">
      <c r="A502" s="15" t="s">
        <v>184</v>
      </c>
      <c r="D502" s="20">
        <v>2</v>
      </c>
      <c r="E502" s="20">
        <f>4-D502</f>
        <v>2</v>
      </c>
      <c r="F502" s="20">
        <f>9-E502-D502</f>
        <v>5</v>
      </c>
      <c r="G502" s="20">
        <f>12-F502-E502-D502</f>
        <v>3</v>
      </c>
      <c r="H502" s="20">
        <v>2</v>
      </c>
      <c r="I502" s="20">
        <f>4-H502</f>
        <v>2</v>
      </c>
      <c r="J502" s="20">
        <f>6-I502-H502</f>
        <v>2</v>
      </c>
      <c r="K502" s="20">
        <f>7-J502-I502-H502</f>
        <v>1</v>
      </c>
      <c r="L502" s="20">
        <v>0</v>
      </c>
      <c r="M502" s="20">
        <v>2</v>
      </c>
      <c r="N502" s="20">
        <v>0</v>
      </c>
      <c r="O502" s="20">
        <f>3-SUM(L502:N502)</f>
        <v>1</v>
      </c>
      <c r="P502" s="20">
        <v>0</v>
      </c>
      <c r="R502" s="102">
        <v>0</v>
      </c>
      <c r="S502" s="102">
        <v>0</v>
      </c>
      <c r="T502" s="102">
        <v>0</v>
      </c>
      <c r="U502" s="102">
        <v>0</v>
      </c>
      <c r="W502" s="246">
        <f>SUM(R502:U502)</f>
        <v>0</v>
      </c>
      <c r="X502" s="102">
        <v>0</v>
      </c>
      <c r="Y502" s="102">
        <v>0</v>
      </c>
      <c r="Z502" s="102">
        <v>0</v>
      </c>
      <c r="AA502" s="102">
        <v>0</v>
      </c>
    </row>
    <row r="503" spans="1:27" x14ac:dyDescent="0.25">
      <c r="A503" s="15" t="s">
        <v>185</v>
      </c>
      <c r="D503" s="20">
        <v>0</v>
      </c>
      <c r="E503" s="20">
        <v>0</v>
      </c>
      <c r="F503" s="20">
        <v>0</v>
      </c>
      <c r="G503" s="20">
        <v>0</v>
      </c>
      <c r="H503" s="20">
        <v>0</v>
      </c>
      <c r="I503" s="20">
        <v>0</v>
      </c>
      <c r="J503" s="20">
        <v>0</v>
      </c>
      <c r="K503" s="20">
        <v>0</v>
      </c>
      <c r="L503" s="20">
        <v>0</v>
      </c>
      <c r="M503" s="20">
        <v>0</v>
      </c>
      <c r="N503" s="20">
        <v>0</v>
      </c>
      <c r="O503" s="20">
        <v>0</v>
      </c>
      <c r="P503" s="20">
        <v>0</v>
      </c>
      <c r="R503" s="102">
        <v>0</v>
      </c>
      <c r="S503" s="102">
        <v>0</v>
      </c>
      <c r="T503" s="102">
        <v>0</v>
      </c>
      <c r="U503" s="102">
        <v>0</v>
      </c>
      <c r="W503" s="246">
        <f t="shared" ref="W503:W505" si="455">SUM(R503:U503)</f>
        <v>0</v>
      </c>
      <c r="X503" s="102">
        <v>0</v>
      </c>
      <c r="Y503" s="102">
        <v>0</v>
      </c>
      <c r="Z503" s="102">
        <v>0</v>
      </c>
      <c r="AA503" s="102">
        <v>0</v>
      </c>
    </row>
    <row r="504" spans="1:27" x14ac:dyDescent="0.25">
      <c r="A504" s="15" t="s">
        <v>186</v>
      </c>
      <c r="D504" s="20">
        <v>0</v>
      </c>
      <c r="E504" s="20">
        <v>0</v>
      </c>
      <c r="F504" s="20">
        <v>0</v>
      </c>
      <c r="G504" s="20">
        <v>0</v>
      </c>
      <c r="H504" s="20">
        <v>0</v>
      </c>
      <c r="I504" s="20">
        <v>0</v>
      </c>
      <c r="J504" s="20">
        <v>0</v>
      </c>
      <c r="K504" s="20">
        <v>0</v>
      </c>
      <c r="L504" s="20">
        <v>0</v>
      </c>
      <c r="M504" s="20">
        <v>0</v>
      </c>
      <c r="N504" s="20">
        <v>0</v>
      </c>
      <c r="O504" s="20">
        <v>0</v>
      </c>
      <c r="P504" s="20">
        <v>0</v>
      </c>
      <c r="R504" s="102">
        <v>0</v>
      </c>
      <c r="S504" s="102">
        <v>0</v>
      </c>
      <c r="T504" s="102">
        <v>0</v>
      </c>
      <c r="U504" s="102">
        <v>0</v>
      </c>
      <c r="W504" s="246">
        <f t="shared" si="455"/>
        <v>0</v>
      </c>
      <c r="X504" s="102">
        <v>0</v>
      </c>
      <c r="Y504" s="102">
        <v>0</v>
      </c>
      <c r="Z504" s="102">
        <v>0</v>
      </c>
      <c r="AA504" s="102">
        <v>0</v>
      </c>
    </row>
    <row r="505" spans="1:27" x14ac:dyDescent="0.25">
      <c r="A505" s="15" t="s">
        <v>187</v>
      </c>
      <c r="D505" s="22">
        <v>-2</v>
      </c>
      <c r="E505" s="22">
        <f>-4-D505</f>
        <v>-2</v>
      </c>
      <c r="F505" s="22">
        <f>-6-E505-D505</f>
        <v>-2</v>
      </c>
      <c r="G505" s="22">
        <f>-9-F505-E505-D505</f>
        <v>-3</v>
      </c>
      <c r="H505" s="22">
        <v>-1</v>
      </c>
      <c r="I505" s="22">
        <f>-2-H505</f>
        <v>-1</v>
      </c>
      <c r="J505" s="22">
        <f>-4-I505-H505</f>
        <v>-2</v>
      </c>
      <c r="K505" s="22">
        <f>-4-J505-I505-H505</f>
        <v>0</v>
      </c>
      <c r="L505" s="22">
        <v>0</v>
      </c>
      <c r="M505" s="22">
        <v>-1</v>
      </c>
      <c r="N505" s="22">
        <v>0</v>
      </c>
      <c r="O505" s="22">
        <f>-2-SUM(L505:N505)</f>
        <v>-1</v>
      </c>
      <c r="P505" s="22">
        <v>0</v>
      </c>
      <c r="R505" s="103">
        <v>0</v>
      </c>
      <c r="S505" s="103">
        <v>0</v>
      </c>
      <c r="T505" s="103">
        <v>0</v>
      </c>
      <c r="U505" s="103">
        <v>0</v>
      </c>
      <c r="W505" s="247">
        <f t="shared" si="455"/>
        <v>0</v>
      </c>
      <c r="X505" s="103">
        <v>0</v>
      </c>
      <c r="Y505" s="103">
        <v>0</v>
      </c>
      <c r="Z505" s="103">
        <v>0</v>
      </c>
      <c r="AA505" s="103">
        <v>0</v>
      </c>
    </row>
    <row r="506" spans="1:27" x14ac:dyDescent="0.25">
      <c r="A506" s="9" t="s">
        <v>188</v>
      </c>
      <c r="D506" s="19">
        <f t="shared" ref="D506:I506" si="456">SUM(D502:D505)</f>
        <v>0</v>
      </c>
      <c r="E506" s="19">
        <f t="shared" si="456"/>
        <v>0</v>
      </c>
      <c r="F506" s="19">
        <f t="shared" si="456"/>
        <v>3</v>
      </c>
      <c r="G506" s="19">
        <f t="shared" si="456"/>
        <v>0</v>
      </c>
      <c r="H506" s="19">
        <f t="shared" si="456"/>
        <v>1</v>
      </c>
      <c r="I506" s="19">
        <f t="shared" si="456"/>
        <v>1</v>
      </c>
      <c r="J506" s="23">
        <f t="shared" ref="J506:P506" si="457">SUM(J502:J505)</f>
        <v>0</v>
      </c>
      <c r="K506" s="19">
        <f t="shared" si="457"/>
        <v>1</v>
      </c>
      <c r="L506" s="19">
        <f t="shared" si="457"/>
        <v>0</v>
      </c>
      <c r="M506" s="19">
        <f t="shared" si="457"/>
        <v>1</v>
      </c>
      <c r="N506" s="19">
        <f t="shared" si="457"/>
        <v>0</v>
      </c>
      <c r="O506" s="19">
        <f t="shared" si="457"/>
        <v>0</v>
      </c>
      <c r="P506" s="19">
        <f t="shared" si="457"/>
        <v>0</v>
      </c>
      <c r="R506" s="19">
        <f>SUM(R502:R505)</f>
        <v>0</v>
      </c>
      <c r="S506" s="19">
        <f t="shared" ref="S506:U506" si="458">SUM(S502:S505)</f>
        <v>0</v>
      </c>
      <c r="T506" s="19">
        <f t="shared" si="458"/>
        <v>0</v>
      </c>
      <c r="U506" s="19">
        <f t="shared" si="458"/>
        <v>0</v>
      </c>
      <c r="W506" s="19">
        <f>SUM(W502:W505)</f>
        <v>0</v>
      </c>
      <c r="X506" s="19">
        <f>SUM(X502:X505)</f>
        <v>0</v>
      </c>
      <c r="Y506" s="19">
        <f t="shared" ref="Y506" si="459">SUM(Y502:Y505)</f>
        <v>0</v>
      </c>
      <c r="Z506" s="19">
        <f t="shared" ref="Z506" si="460">SUM(Z502:Z505)</f>
        <v>0</v>
      </c>
      <c r="AA506" s="19">
        <f t="shared" ref="AA506" si="461">SUM(AA502:AA505)</f>
        <v>0</v>
      </c>
    </row>
    <row r="507" spans="1:27" x14ac:dyDescent="0.25">
      <c r="A507" s="9"/>
      <c r="D507" s="19"/>
      <c r="E507" s="19"/>
      <c r="F507" s="19"/>
      <c r="G507" s="19"/>
      <c r="H507" s="19"/>
      <c r="I507" s="19"/>
      <c r="J507" s="23"/>
      <c r="K507" s="19"/>
      <c r="L507" s="19"/>
      <c r="M507" s="19"/>
      <c r="N507" s="19"/>
      <c r="O507" s="19"/>
      <c r="P507" s="19"/>
      <c r="R507" s="19"/>
      <c r="S507" s="19"/>
      <c r="T507" s="19"/>
      <c r="U507" s="19"/>
      <c r="W507" s="82"/>
      <c r="X507" s="19"/>
      <c r="Y507" s="19"/>
      <c r="Z507" s="19"/>
      <c r="AA507" s="19"/>
    </row>
    <row r="508" spans="1:27" x14ac:dyDescent="0.25">
      <c r="A508" s="15" t="s">
        <v>189</v>
      </c>
      <c r="D508" s="20">
        <v>0</v>
      </c>
      <c r="E508" s="20">
        <v>0</v>
      </c>
      <c r="F508" s="20">
        <v>0</v>
      </c>
      <c r="G508" s="20">
        <v>0</v>
      </c>
      <c r="H508" s="20">
        <v>0</v>
      </c>
      <c r="I508" s="20">
        <v>0</v>
      </c>
      <c r="J508" s="20">
        <v>0</v>
      </c>
      <c r="K508" s="20">
        <v>0</v>
      </c>
      <c r="L508" s="20">
        <v>0</v>
      </c>
      <c r="M508" s="20">
        <v>0</v>
      </c>
      <c r="N508" s="20">
        <v>0</v>
      </c>
      <c r="O508" s="20">
        <v>0</v>
      </c>
      <c r="P508" s="20">
        <v>0</v>
      </c>
      <c r="R508" s="102">
        <v>0</v>
      </c>
      <c r="S508" s="102">
        <v>0</v>
      </c>
      <c r="T508" s="102">
        <v>0</v>
      </c>
      <c r="U508" s="102">
        <v>0</v>
      </c>
      <c r="W508" s="246">
        <f>SUM(R508:U508)</f>
        <v>0</v>
      </c>
      <c r="X508" s="102">
        <v>0</v>
      </c>
      <c r="Y508" s="102">
        <v>0</v>
      </c>
      <c r="Z508" s="102">
        <v>0</v>
      </c>
      <c r="AA508" s="102">
        <v>0</v>
      </c>
    </row>
    <row r="509" spans="1:27" x14ac:dyDescent="0.25">
      <c r="A509" s="15" t="s">
        <v>190</v>
      </c>
      <c r="D509" s="20">
        <v>0</v>
      </c>
      <c r="E509" s="20">
        <v>0</v>
      </c>
      <c r="F509" s="20">
        <v>0</v>
      </c>
      <c r="G509" s="20">
        <v>0</v>
      </c>
      <c r="H509" s="20">
        <v>0</v>
      </c>
      <c r="I509" s="20">
        <v>0</v>
      </c>
      <c r="J509" s="20">
        <v>0</v>
      </c>
      <c r="K509" s="20">
        <v>0</v>
      </c>
      <c r="L509" s="20">
        <v>0</v>
      </c>
      <c r="M509" s="20">
        <v>0</v>
      </c>
      <c r="N509" s="20">
        <v>0</v>
      </c>
      <c r="O509" s="20">
        <v>0</v>
      </c>
      <c r="P509" s="20">
        <v>0</v>
      </c>
      <c r="R509" s="102">
        <v>0</v>
      </c>
      <c r="S509" s="102">
        <v>0</v>
      </c>
      <c r="T509" s="102">
        <v>0</v>
      </c>
      <c r="U509" s="102">
        <v>0</v>
      </c>
      <c r="W509" s="246">
        <f t="shared" ref="W509:W510" si="462">SUM(R509:U509)</f>
        <v>0</v>
      </c>
      <c r="X509" s="102">
        <v>0</v>
      </c>
      <c r="Y509" s="102">
        <v>0</v>
      </c>
      <c r="Z509" s="102">
        <v>0</v>
      </c>
      <c r="AA509" s="102">
        <v>0</v>
      </c>
    </row>
    <row r="510" spans="1:27" x14ac:dyDescent="0.25">
      <c r="A510" s="15" t="s">
        <v>191</v>
      </c>
      <c r="D510" s="22">
        <v>-7</v>
      </c>
      <c r="E510" s="22">
        <f>-21-D510</f>
        <v>-14</v>
      </c>
      <c r="F510" s="22">
        <f>-48-E510-D510</f>
        <v>-27</v>
      </c>
      <c r="G510" s="22">
        <f>-73-F510-E510-D510</f>
        <v>-25</v>
      </c>
      <c r="H510" s="22">
        <v>-17</v>
      </c>
      <c r="I510" s="22">
        <f>-43-H510</f>
        <v>-26</v>
      </c>
      <c r="J510" s="22">
        <f>-73-I510-H510</f>
        <v>-30</v>
      </c>
      <c r="K510" s="22">
        <f>-94-J510-I510-H510</f>
        <v>-21</v>
      </c>
      <c r="L510" s="22">
        <v>-6</v>
      </c>
      <c r="M510" s="22">
        <v>-8</v>
      </c>
      <c r="N510" s="22">
        <v>-22</v>
      </c>
      <c r="O510" s="22">
        <f>-47-SUM(L510:N510)</f>
        <v>-11</v>
      </c>
      <c r="P510" s="22">
        <v>-8</v>
      </c>
      <c r="R510" s="103">
        <v>0</v>
      </c>
      <c r="S510" s="103">
        <v>0</v>
      </c>
      <c r="T510" s="103">
        <v>0</v>
      </c>
      <c r="U510" s="103">
        <v>0</v>
      </c>
      <c r="W510" s="247">
        <f t="shared" si="462"/>
        <v>0</v>
      </c>
      <c r="X510" s="103">
        <v>0</v>
      </c>
      <c r="Y510" s="103">
        <v>0</v>
      </c>
      <c r="Z510" s="103">
        <v>0</v>
      </c>
      <c r="AA510" s="103">
        <v>0</v>
      </c>
    </row>
    <row r="511" spans="1:27" x14ac:dyDescent="0.25">
      <c r="A511" s="9" t="s">
        <v>192</v>
      </c>
      <c r="D511" s="19">
        <f t="shared" ref="D511:U511" si="463">D501+SUM(D506:D510)</f>
        <v>1016</v>
      </c>
      <c r="E511" s="19">
        <f t="shared" si="463"/>
        <v>1002</v>
      </c>
      <c r="F511" s="19">
        <f t="shared" si="463"/>
        <v>978</v>
      </c>
      <c r="G511" s="19">
        <f t="shared" si="463"/>
        <v>953</v>
      </c>
      <c r="H511" s="19">
        <f t="shared" si="463"/>
        <v>937</v>
      </c>
      <c r="I511" s="19">
        <f t="shared" si="463"/>
        <v>912</v>
      </c>
      <c r="J511" s="23">
        <f>J501+SUM(J506:J510)</f>
        <v>882</v>
      </c>
      <c r="K511" s="19">
        <f t="shared" si="463"/>
        <v>862</v>
      </c>
      <c r="L511" s="19">
        <f t="shared" si="463"/>
        <v>856</v>
      </c>
      <c r="M511" s="19">
        <f t="shared" si="463"/>
        <v>849</v>
      </c>
      <c r="N511" s="19">
        <f t="shared" si="463"/>
        <v>827</v>
      </c>
      <c r="O511" s="19">
        <f t="shared" si="463"/>
        <v>816</v>
      </c>
      <c r="P511" s="19">
        <f t="shared" si="463"/>
        <v>808</v>
      </c>
      <c r="R511" s="19">
        <f t="shared" si="463"/>
        <v>808</v>
      </c>
      <c r="S511" s="19">
        <f t="shared" si="463"/>
        <v>808</v>
      </c>
      <c r="T511" s="19">
        <f t="shared" si="463"/>
        <v>808</v>
      </c>
      <c r="U511" s="19">
        <f t="shared" si="463"/>
        <v>808</v>
      </c>
      <c r="W511" s="19">
        <f t="shared" ref="W511:X511" si="464">W501+SUM(W506:W510)</f>
        <v>808</v>
      </c>
      <c r="X511" s="19">
        <f t="shared" si="464"/>
        <v>808</v>
      </c>
      <c r="Y511" s="19">
        <f t="shared" ref="Y511:AA511" si="465">Y501+SUM(Y506:Y510)</f>
        <v>808</v>
      </c>
      <c r="Z511" s="19">
        <f t="shared" si="465"/>
        <v>808</v>
      </c>
      <c r="AA511" s="19">
        <f t="shared" si="465"/>
        <v>808</v>
      </c>
    </row>
    <row r="512" spans="1:27" x14ac:dyDescent="0.25">
      <c r="A512" s="15"/>
      <c r="D512" s="15"/>
      <c r="E512" s="15"/>
      <c r="F512" s="15"/>
      <c r="G512" s="15"/>
      <c r="H512" s="15"/>
      <c r="I512" s="15"/>
      <c r="J512" s="15"/>
      <c r="K512" s="15"/>
      <c r="L512" s="15"/>
      <c r="M512" s="15"/>
      <c r="N512" s="15"/>
      <c r="O512" s="15"/>
      <c r="P512" s="15"/>
      <c r="R512" s="15"/>
      <c r="S512" s="15"/>
      <c r="T512" s="15"/>
      <c r="U512" s="15"/>
      <c r="W512" s="82"/>
      <c r="X512" s="15"/>
      <c r="Y512" s="15"/>
      <c r="Z512" s="15"/>
      <c r="AA512" s="15"/>
    </row>
    <row r="513" spans="1:27" x14ac:dyDescent="0.25">
      <c r="A513" s="26" t="s">
        <v>130</v>
      </c>
      <c r="D513" s="15"/>
      <c r="E513" s="15"/>
      <c r="F513" s="15"/>
      <c r="G513" s="15"/>
      <c r="H513" s="15"/>
      <c r="I513" s="15"/>
      <c r="J513" s="15"/>
      <c r="K513" s="15"/>
      <c r="L513" s="15"/>
      <c r="M513" s="15"/>
      <c r="N513" s="15"/>
      <c r="O513" s="15"/>
      <c r="P513" s="15"/>
      <c r="R513" s="15"/>
      <c r="S513" s="15"/>
      <c r="T513" s="15"/>
      <c r="U513" s="15"/>
      <c r="W513" s="82"/>
      <c r="X513" s="15"/>
      <c r="Y513" s="15"/>
      <c r="Z513" s="15"/>
      <c r="AA513" s="15"/>
    </row>
    <row r="514" spans="1:27" x14ac:dyDescent="0.25">
      <c r="A514" s="15" t="s">
        <v>183</v>
      </c>
      <c r="D514" s="20">
        <v>588</v>
      </c>
      <c r="E514" s="20">
        <f>D524</f>
        <v>590</v>
      </c>
      <c r="F514" s="20">
        <f>E524</f>
        <v>587</v>
      </c>
      <c r="G514" s="20">
        <f>F524</f>
        <v>578</v>
      </c>
      <c r="H514" s="20">
        <v>569</v>
      </c>
      <c r="I514" s="20">
        <f t="shared" ref="I514:P514" si="466">H524</f>
        <v>566</v>
      </c>
      <c r="J514" s="20">
        <f t="shared" si="466"/>
        <v>556</v>
      </c>
      <c r="K514" s="20">
        <f t="shared" si="466"/>
        <v>541</v>
      </c>
      <c r="L514" s="20">
        <f t="shared" si="466"/>
        <v>532</v>
      </c>
      <c r="M514" s="20">
        <f t="shared" si="466"/>
        <v>529</v>
      </c>
      <c r="N514" s="20">
        <f t="shared" si="466"/>
        <v>523</v>
      </c>
      <c r="O514" s="20">
        <f t="shared" si="466"/>
        <v>512</v>
      </c>
      <c r="P514" s="20">
        <f t="shared" si="466"/>
        <v>505</v>
      </c>
      <c r="R514" s="20">
        <f>P524</f>
        <v>496</v>
      </c>
      <c r="S514" s="20">
        <f>R524</f>
        <v>496</v>
      </c>
      <c r="T514" s="20">
        <f t="shared" ref="T514:U514" si="467">S524</f>
        <v>496</v>
      </c>
      <c r="U514" s="20">
        <f t="shared" si="467"/>
        <v>496</v>
      </c>
      <c r="W514" s="246">
        <f>R514</f>
        <v>496</v>
      </c>
      <c r="X514" s="20">
        <f>W524</f>
        <v>496</v>
      </c>
      <c r="Y514" s="20">
        <f>X524</f>
        <v>496</v>
      </c>
      <c r="Z514" s="20">
        <f t="shared" ref="Z514:AA514" si="468">Y524</f>
        <v>496</v>
      </c>
      <c r="AA514" s="20">
        <f t="shared" si="468"/>
        <v>496</v>
      </c>
    </row>
    <row r="515" spans="1:27" x14ac:dyDescent="0.25">
      <c r="A515" s="15" t="s">
        <v>184</v>
      </c>
      <c r="D515" s="20">
        <v>4</v>
      </c>
      <c r="E515" s="20">
        <f>6-D515</f>
        <v>2</v>
      </c>
      <c r="F515" s="20">
        <f>8-E515-D515</f>
        <v>2</v>
      </c>
      <c r="G515" s="20">
        <f>11-F515-E515-D515</f>
        <v>3</v>
      </c>
      <c r="H515" s="20">
        <v>3</v>
      </c>
      <c r="I515" s="20">
        <f>5-H515</f>
        <v>2</v>
      </c>
      <c r="J515" s="20">
        <f>5-I515-H515</f>
        <v>0</v>
      </c>
      <c r="K515" s="20">
        <f>8-J515-I515-H515</f>
        <v>3</v>
      </c>
      <c r="L515" s="20">
        <v>1</v>
      </c>
      <c r="M515" s="20">
        <v>2</v>
      </c>
      <c r="N515" s="20">
        <v>2</v>
      </c>
      <c r="O515" s="20">
        <f>7-SUM(L515:N515)</f>
        <v>2</v>
      </c>
      <c r="P515" s="20">
        <v>2</v>
      </c>
      <c r="R515" s="102">
        <v>0</v>
      </c>
      <c r="S515" s="102">
        <v>0</v>
      </c>
      <c r="T515" s="102">
        <v>0</v>
      </c>
      <c r="U515" s="102">
        <v>0</v>
      </c>
      <c r="W515" s="246">
        <f>SUM(R515:U515)</f>
        <v>0</v>
      </c>
      <c r="X515" s="102">
        <v>0</v>
      </c>
      <c r="Y515" s="102">
        <v>0</v>
      </c>
      <c r="Z515" s="102">
        <v>0</v>
      </c>
      <c r="AA515" s="102">
        <v>0</v>
      </c>
    </row>
    <row r="516" spans="1:27" x14ac:dyDescent="0.25">
      <c r="A516" s="15" t="s">
        <v>185</v>
      </c>
      <c r="D516" s="20">
        <v>0</v>
      </c>
      <c r="E516" s="20">
        <v>0</v>
      </c>
      <c r="F516" s="20">
        <v>0</v>
      </c>
      <c r="G516" s="20">
        <v>0</v>
      </c>
      <c r="H516" s="20">
        <v>0</v>
      </c>
      <c r="I516" s="20">
        <v>0</v>
      </c>
      <c r="J516" s="20">
        <v>0</v>
      </c>
      <c r="K516" s="20">
        <v>0</v>
      </c>
      <c r="L516" s="20">
        <v>0</v>
      </c>
      <c r="M516" s="20">
        <v>0</v>
      </c>
      <c r="N516" s="20">
        <v>0</v>
      </c>
      <c r="O516" s="20">
        <v>0</v>
      </c>
      <c r="P516" s="20">
        <v>0</v>
      </c>
      <c r="R516" s="102">
        <v>0</v>
      </c>
      <c r="S516" s="102">
        <v>0</v>
      </c>
      <c r="T516" s="102">
        <v>0</v>
      </c>
      <c r="U516" s="102">
        <v>0</v>
      </c>
      <c r="W516" s="246">
        <f t="shared" ref="W516:W518" si="469">SUM(R516:U516)</f>
        <v>0</v>
      </c>
      <c r="X516" s="102">
        <v>0</v>
      </c>
      <c r="Y516" s="102">
        <v>0</v>
      </c>
      <c r="Z516" s="102">
        <v>0</v>
      </c>
      <c r="AA516" s="102">
        <v>0</v>
      </c>
    </row>
    <row r="517" spans="1:27" x14ac:dyDescent="0.25">
      <c r="A517" s="15" t="s">
        <v>186</v>
      </c>
      <c r="D517" s="20">
        <v>0</v>
      </c>
      <c r="E517" s="20">
        <v>0</v>
      </c>
      <c r="F517" s="20">
        <v>0</v>
      </c>
      <c r="G517" s="20">
        <v>0</v>
      </c>
      <c r="H517" s="20">
        <v>0</v>
      </c>
      <c r="I517" s="20">
        <v>0</v>
      </c>
      <c r="J517" s="20">
        <v>0</v>
      </c>
      <c r="K517" s="20">
        <v>0</v>
      </c>
      <c r="L517" s="20">
        <v>0</v>
      </c>
      <c r="M517" s="20">
        <v>0</v>
      </c>
      <c r="N517" s="20">
        <v>0</v>
      </c>
      <c r="O517" s="20">
        <v>0</v>
      </c>
      <c r="P517" s="20">
        <v>0</v>
      </c>
      <c r="R517" s="102">
        <v>0</v>
      </c>
      <c r="S517" s="102">
        <v>0</v>
      </c>
      <c r="T517" s="102">
        <v>0</v>
      </c>
      <c r="U517" s="102">
        <v>0</v>
      </c>
      <c r="W517" s="246">
        <f t="shared" si="469"/>
        <v>0</v>
      </c>
      <c r="X517" s="102">
        <v>0</v>
      </c>
      <c r="Y517" s="102">
        <v>0</v>
      </c>
      <c r="Z517" s="102">
        <v>0</v>
      </c>
      <c r="AA517" s="102">
        <v>0</v>
      </c>
    </row>
    <row r="518" spans="1:27" x14ac:dyDescent="0.25">
      <c r="A518" s="15" t="s">
        <v>187</v>
      </c>
      <c r="D518" s="22">
        <v>-2</v>
      </c>
      <c r="E518" s="22">
        <f>-4-D518</f>
        <v>-2</v>
      </c>
      <c r="F518" s="22">
        <f>-6-E518-D518</f>
        <v>-2</v>
      </c>
      <c r="G518" s="22">
        <f>-9-F518-E518-D518</f>
        <v>-3</v>
      </c>
      <c r="H518" s="22">
        <v>-1</v>
      </c>
      <c r="I518" s="22">
        <f>-2-H518</f>
        <v>-1</v>
      </c>
      <c r="J518" s="22">
        <f>-2-I518-H518</f>
        <v>0</v>
      </c>
      <c r="K518" s="22">
        <f>-5-J518-I518-H518</f>
        <v>-3</v>
      </c>
      <c r="L518" s="22">
        <v>0</v>
      </c>
      <c r="M518" s="22">
        <v>-2</v>
      </c>
      <c r="N518" s="22">
        <v>-2</v>
      </c>
      <c r="O518" s="22">
        <f>-6-SUM(L518:N518)</f>
        <v>-2</v>
      </c>
      <c r="P518" s="22">
        <v>-2</v>
      </c>
      <c r="R518" s="103">
        <v>0</v>
      </c>
      <c r="S518" s="103">
        <v>0</v>
      </c>
      <c r="T518" s="103">
        <v>0</v>
      </c>
      <c r="U518" s="103">
        <v>0</v>
      </c>
      <c r="W518" s="247">
        <f t="shared" si="469"/>
        <v>0</v>
      </c>
      <c r="X518" s="103">
        <v>0</v>
      </c>
      <c r="Y518" s="103">
        <v>0</v>
      </c>
      <c r="Z518" s="103">
        <v>0</v>
      </c>
      <c r="AA518" s="103">
        <v>0</v>
      </c>
    </row>
    <row r="519" spans="1:27" x14ac:dyDescent="0.25">
      <c r="A519" s="9" t="s">
        <v>188</v>
      </c>
      <c r="D519" s="19">
        <f t="shared" ref="D519:P519" si="470">SUM(D515:D518)</f>
        <v>2</v>
      </c>
      <c r="E519" s="19">
        <f t="shared" si="470"/>
        <v>0</v>
      </c>
      <c r="F519" s="19">
        <f t="shared" si="470"/>
        <v>0</v>
      </c>
      <c r="G519" s="19">
        <f t="shared" si="470"/>
        <v>0</v>
      </c>
      <c r="H519" s="19">
        <f t="shared" si="470"/>
        <v>2</v>
      </c>
      <c r="I519" s="19">
        <f t="shared" si="470"/>
        <v>1</v>
      </c>
      <c r="J519" s="23">
        <f t="shared" si="470"/>
        <v>0</v>
      </c>
      <c r="K519" s="19">
        <f t="shared" si="470"/>
        <v>0</v>
      </c>
      <c r="L519" s="19">
        <f t="shared" si="470"/>
        <v>1</v>
      </c>
      <c r="M519" s="19">
        <f t="shared" si="470"/>
        <v>0</v>
      </c>
      <c r="N519" s="19">
        <f t="shared" si="470"/>
        <v>0</v>
      </c>
      <c r="O519" s="19">
        <f t="shared" si="470"/>
        <v>0</v>
      </c>
      <c r="P519" s="19">
        <f t="shared" si="470"/>
        <v>0</v>
      </c>
      <c r="R519" s="19">
        <f>SUM(R515:R518)</f>
        <v>0</v>
      </c>
      <c r="S519" s="19">
        <f t="shared" ref="S519" si="471">SUM(S515:S518)</f>
        <v>0</v>
      </c>
      <c r="T519" s="19">
        <f t="shared" ref="T519" si="472">SUM(T515:T518)</f>
        <v>0</v>
      </c>
      <c r="U519" s="19">
        <f t="shared" ref="U519" si="473">SUM(U515:U518)</f>
        <v>0</v>
      </c>
      <c r="W519" s="19">
        <f>SUM(W515:W518)</f>
        <v>0</v>
      </c>
      <c r="X519" s="19">
        <f>SUM(X515:X518)</f>
        <v>0</v>
      </c>
      <c r="Y519" s="19">
        <f t="shared" ref="Y519" si="474">SUM(Y515:Y518)</f>
        <v>0</v>
      </c>
      <c r="Z519" s="19">
        <f t="shared" ref="Z519" si="475">SUM(Z515:Z518)</f>
        <v>0</v>
      </c>
      <c r="AA519" s="19">
        <f t="shared" ref="AA519" si="476">SUM(AA515:AA518)</f>
        <v>0</v>
      </c>
    </row>
    <row r="520" spans="1:27" x14ac:dyDescent="0.25">
      <c r="A520" s="9"/>
      <c r="D520" s="19"/>
      <c r="E520" s="19"/>
      <c r="F520" s="19"/>
      <c r="G520" s="19"/>
      <c r="H520" s="19"/>
      <c r="I520" s="19"/>
      <c r="J520" s="23"/>
      <c r="K520" s="19"/>
      <c r="L520" s="19"/>
      <c r="M520" s="19"/>
      <c r="N520" s="19"/>
      <c r="O520" s="19"/>
      <c r="P520" s="19"/>
      <c r="R520" s="19"/>
      <c r="S520" s="19"/>
      <c r="T520" s="19"/>
      <c r="U520" s="19"/>
      <c r="W520" s="82"/>
      <c r="X520" s="19"/>
      <c r="Y520" s="19"/>
      <c r="Z520" s="19"/>
      <c r="AA520" s="19"/>
    </row>
    <row r="521" spans="1:27" x14ac:dyDescent="0.25">
      <c r="A521" s="15" t="s">
        <v>189</v>
      </c>
      <c r="D521" s="20">
        <v>0</v>
      </c>
      <c r="E521" s="20">
        <v>0</v>
      </c>
      <c r="F521" s="20">
        <v>0</v>
      </c>
      <c r="G521" s="20">
        <v>0</v>
      </c>
      <c r="H521" s="20">
        <v>0</v>
      </c>
      <c r="I521" s="20">
        <v>0</v>
      </c>
      <c r="J521" s="20">
        <v>0</v>
      </c>
      <c r="K521" s="20">
        <v>0</v>
      </c>
      <c r="L521" s="20">
        <v>0</v>
      </c>
      <c r="M521" s="20">
        <v>0</v>
      </c>
      <c r="N521" s="20">
        <v>0</v>
      </c>
      <c r="O521" s="20">
        <v>-1</v>
      </c>
      <c r="P521" s="20">
        <v>0</v>
      </c>
      <c r="R521" s="102">
        <v>0</v>
      </c>
      <c r="S521" s="102">
        <v>0</v>
      </c>
      <c r="T521" s="102">
        <v>0</v>
      </c>
      <c r="U521" s="102">
        <v>0</v>
      </c>
      <c r="W521" s="246">
        <f>SUM(R521:U521)</f>
        <v>0</v>
      </c>
      <c r="X521" s="102">
        <v>0</v>
      </c>
      <c r="Y521" s="102">
        <v>0</v>
      </c>
      <c r="Z521" s="102">
        <v>0</v>
      </c>
      <c r="AA521" s="102">
        <v>0</v>
      </c>
    </row>
    <row r="522" spans="1:27" x14ac:dyDescent="0.25">
      <c r="A522" s="15" t="s">
        <v>190</v>
      </c>
      <c r="D522" s="20">
        <v>0</v>
      </c>
      <c r="E522" s="20">
        <v>0</v>
      </c>
      <c r="F522" s="20">
        <v>0</v>
      </c>
      <c r="G522" s="20">
        <v>0</v>
      </c>
      <c r="H522" s="20">
        <v>0</v>
      </c>
      <c r="I522" s="20">
        <v>0</v>
      </c>
      <c r="J522" s="20">
        <v>0</v>
      </c>
      <c r="K522" s="20">
        <v>0</v>
      </c>
      <c r="L522" s="20">
        <v>0</v>
      </c>
      <c r="M522" s="20">
        <v>0</v>
      </c>
      <c r="N522" s="20">
        <v>0</v>
      </c>
      <c r="O522" s="20">
        <v>0</v>
      </c>
      <c r="P522" s="20">
        <v>0</v>
      </c>
      <c r="R522" s="102">
        <v>0</v>
      </c>
      <c r="S522" s="102">
        <v>0</v>
      </c>
      <c r="T522" s="102">
        <v>0</v>
      </c>
      <c r="U522" s="102">
        <v>0</v>
      </c>
      <c r="W522" s="246">
        <f t="shared" ref="W522:W523" si="477">SUM(R522:U522)</f>
        <v>0</v>
      </c>
      <c r="X522" s="102">
        <v>0</v>
      </c>
      <c r="Y522" s="102">
        <v>0</v>
      </c>
      <c r="Z522" s="102">
        <v>0</v>
      </c>
      <c r="AA522" s="102">
        <v>0</v>
      </c>
    </row>
    <row r="523" spans="1:27" x14ac:dyDescent="0.25">
      <c r="A523" s="15" t="s">
        <v>191</v>
      </c>
      <c r="D523" s="22">
        <v>0</v>
      </c>
      <c r="E523" s="22">
        <f>-3-D523</f>
        <v>-3</v>
      </c>
      <c r="F523" s="22">
        <f>-12-E523-D523</f>
        <v>-9</v>
      </c>
      <c r="G523" s="22">
        <f>-21-F523-E523-D523</f>
        <v>-9</v>
      </c>
      <c r="H523" s="22">
        <v>-5</v>
      </c>
      <c r="I523" s="22">
        <f>-16-H523</f>
        <v>-11</v>
      </c>
      <c r="J523" s="22">
        <f>-31-I523-H523</f>
        <v>-15</v>
      </c>
      <c r="K523" s="22">
        <f>-40-J523-I523-H523</f>
        <v>-9</v>
      </c>
      <c r="L523" s="22">
        <v>-4</v>
      </c>
      <c r="M523" s="22">
        <v>-6</v>
      </c>
      <c r="N523" s="22">
        <v>-11</v>
      </c>
      <c r="O523" s="22">
        <f>-27-SUM(L523:N523)</f>
        <v>-6</v>
      </c>
      <c r="P523" s="22">
        <v>-9</v>
      </c>
      <c r="R523" s="103">
        <v>0</v>
      </c>
      <c r="S523" s="103">
        <v>0</v>
      </c>
      <c r="T523" s="103">
        <v>0</v>
      </c>
      <c r="U523" s="103">
        <v>0</v>
      </c>
      <c r="W523" s="247">
        <f t="shared" si="477"/>
        <v>0</v>
      </c>
      <c r="X523" s="103">
        <v>0</v>
      </c>
      <c r="Y523" s="103">
        <v>0</v>
      </c>
      <c r="Z523" s="103">
        <v>0</v>
      </c>
      <c r="AA523" s="103">
        <v>0</v>
      </c>
    </row>
    <row r="524" spans="1:27" x14ac:dyDescent="0.25">
      <c r="A524" s="9" t="s">
        <v>193</v>
      </c>
      <c r="D524" s="19">
        <f t="shared" ref="D524:P524" si="478">D514+SUM(D519:D523)</f>
        <v>590</v>
      </c>
      <c r="E524" s="19">
        <f t="shared" si="478"/>
        <v>587</v>
      </c>
      <c r="F524" s="19">
        <f t="shared" si="478"/>
        <v>578</v>
      </c>
      <c r="G524" s="19">
        <f t="shared" si="478"/>
        <v>569</v>
      </c>
      <c r="H524" s="19">
        <f t="shared" si="478"/>
        <v>566</v>
      </c>
      <c r="I524" s="19">
        <f t="shared" si="478"/>
        <v>556</v>
      </c>
      <c r="J524" s="23">
        <f t="shared" si="478"/>
        <v>541</v>
      </c>
      <c r="K524" s="19">
        <f t="shared" si="478"/>
        <v>532</v>
      </c>
      <c r="L524" s="19">
        <f t="shared" si="478"/>
        <v>529</v>
      </c>
      <c r="M524" s="19">
        <f t="shared" si="478"/>
        <v>523</v>
      </c>
      <c r="N524" s="19">
        <f t="shared" si="478"/>
        <v>512</v>
      </c>
      <c r="O524" s="19">
        <f t="shared" si="478"/>
        <v>505</v>
      </c>
      <c r="P524" s="19">
        <f t="shared" si="478"/>
        <v>496</v>
      </c>
      <c r="R524" s="19">
        <f t="shared" ref="R524:U524" si="479">R514+SUM(R519:R523)</f>
        <v>496</v>
      </c>
      <c r="S524" s="19">
        <f t="shared" si="479"/>
        <v>496</v>
      </c>
      <c r="T524" s="19">
        <f t="shared" si="479"/>
        <v>496</v>
      </c>
      <c r="U524" s="19">
        <f t="shared" si="479"/>
        <v>496</v>
      </c>
      <c r="W524" s="19">
        <f t="shared" ref="W524" si="480">W514+SUM(W519:W523)</f>
        <v>496</v>
      </c>
      <c r="X524" s="19">
        <f t="shared" ref="X524:AA524" si="481">X514+SUM(X519:X523)</f>
        <v>496</v>
      </c>
      <c r="Y524" s="19">
        <f t="shared" si="481"/>
        <v>496</v>
      </c>
      <c r="Z524" s="19">
        <f t="shared" si="481"/>
        <v>496</v>
      </c>
      <c r="AA524" s="19">
        <f t="shared" si="481"/>
        <v>496</v>
      </c>
    </row>
    <row r="525" spans="1:27" x14ac:dyDescent="0.25">
      <c r="A525" s="15"/>
      <c r="D525" s="15"/>
      <c r="E525" s="15"/>
      <c r="F525" s="15"/>
      <c r="G525" s="15"/>
      <c r="H525" s="15"/>
      <c r="I525" s="15"/>
      <c r="J525" s="15"/>
      <c r="K525" s="15"/>
      <c r="L525" s="15"/>
      <c r="M525" s="15"/>
      <c r="N525" s="15"/>
      <c r="O525" s="15"/>
      <c r="P525" s="15"/>
      <c r="R525" s="15"/>
      <c r="S525" s="15"/>
      <c r="T525" s="15"/>
      <c r="U525" s="15"/>
      <c r="W525" s="82"/>
      <c r="X525" s="15"/>
      <c r="Y525" s="15"/>
      <c r="Z525" s="15"/>
      <c r="AA525" s="15"/>
    </row>
    <row r="526" spans="1:27" x14ac:dyDescent="0.25">
      <c r="A526" s="26" t="s">
        <v>194</v>
      </c>
      <c r="D526" s="15"/>
      <c r="E526" s="15"/>
      <c r="F526" s="15"/>
      <c r="G526" s="15"/>
      <c r="H526" s="15"/>
      <c r="I526" s="15"/>
      <c r="J526" s="15"/>
      <c r="K526" s="15"/>
      <c r="L526" s="15"/>
      <c r="M526" s="15"/>
      <c r="N526" s="15"/>
      <c r="O526" s="15"/>
      <c r="P526" s="15"/>
      <c r="R526" s="15"/>
      <c r="S526" s="15"/>
      <c r="T526" s="15"/>
      <c r="U526" s="15"/>
      <c r="W526" s="82"/>
      <c r="X526" s="15"/>
      <c r="Y526" s="15"/>
      <c r="Z526" s="15"/>
      <c r="AA526" s="15"/>
    </row>
    <row r="527" spans="1:27" x14ac:dyDescent="0.25">
      <c r="A527" s="15" t="s">
        <v>183</v>
      </c>
      <c r="D527" s="20">
        <v>2393</v>
      </c>
      <c r="E527" s="20">
        <f>D537</f>
        <v>2407</v>
      </c>
      <c r="F527" s="20">
        <f>E537</f>
        <v>2423</v>
      </c>
      <c r="G527" s="20">
        <f>F537</f>
        <v>2432</v>
      </c>
      <c r="H527" s="20">
        <v>2441</v>
      </c>
      <c r="I527" s="20">
        <f t="shared" ref="I527:P527" si="482">H537</f>
        <v>2453</v>
      </c>
      <c r="J527" s="20">
        <f t="shared" si="482"/>
        <v>2470</v>
      </c>
      <c r="K527" s="20">
        <f t="shared" si="482"/>
        <v>2484</v>
      </c>
      <c r="L527" s="20">
        <f t="shared" si="482"/>
        <v>2490</v>
      </c>
      <c r="M527" s="20">
        <f t="shared" si="482"/>
        <v>2507</v>
      </c>
      <c r="N527" s="20">
        <f t="shared" si="482"/>
        <v>2533</v>
      </c>
      <c r="O527" s="20">
        <f t="shared" si="482"/>
        <v>2556</v>
      </c>
      <c r="P527" s="20">
        <f t="shared" si="482"/>
        <v>2574</v>
      </c>
      <c r="R527" s="20">
        <f>P537</f>
        <v>2590</v>
      </c>
      <c r="S527" s="20">
        <f>R537</f>
        <v>2590</v>
      </c>
      <c r="T527" s="20">
        <f t="shared" ref="T527:U527" si="483">S537</f>
        <v>2590</v>
      </c>
      <c r="U527" s="20">
        <f t="shared" si="483"/>
        <v>2590</v>
      </c>
      <c r="W527" s="246">
        <f>R527</f>
        <v>2590</v>
      </c>
      <c r="X527" s="20">
        <f>W537</f>
        <v>2590</v>
      </c>
      <c r="Y527" s="20">
        <f>X537</f>
        <v>2590</v>
      </c>
      <c r="Z527" s="20">
        <f t="shared" ref="Z527:AA527" si="484">Y537</f>
        <v>2590</v>
      </c>
      <c r="AA527" s="20">
        <f t="shared" si="484"/>
        <v>2590</v>
      </c>
    </row>
    <row r="528" spans="1:27" x14ac:dyDescent="0.25">
      <c r="A528" s="15" t="s">
        <v>184</v>
      </c>
      <c r="D528" s="20">
        <v>16</v>
      </c>
      <c r="E528" s="20">
        <f>32-D528</f>
        <v>16</v>
      </c>
      <c r="F528" s="20">
        <f>41-E528-D528</f>
        <v>9</v>
      </c>
      <c r="G528" s="20">
        <f>50-F528-E528-D528</f>
        <v>9</v>
      </c>
      <c r="H528" s="20">
        <v>13</v>
      </c>
      <c r="I528" s="20">
        <f>30-H528</f>
        <v>17</v>
      </c>
      <c r="J528" s="20">
        <f>45-I528-H528</f>
        <v>15</v>
      </c>
      <c r="K528" s="20">
        <f>51-J528-I528-H528</f>
        <v>6</v>
      </c>
      <c r="L528" s="20">
        <v>17</v>
      </c>
      <c r="M528" s="20">
        <v>27</v>
      </c>
      <c r="N528" s="20">
        <v>23</v>
      </c>
      <c r="O528" s="20">
        <f>87-SUM(L528:N528)</f>
        <v>20</v>
      </c>
      <c r="P528" s="20">
        <v>17</v>
      </c>
      <c r="R528" s="102">
        <v>0</v>
      </c>
      <c r="S528" s="102">
        <v>0</v>
      </c>
      <c r="T528" s="102">
        <v>0</v>
      </c>
      <c r="U528" s="102">
        <v>0</v>
      </c>
      <c r="W528" s="246">
        <f>SUM(R528:U528)</f>
        <v>0</v>
      </c>
      <c r="X528" s="102">
        <v>0</v>
      </c>
      <c r="Y528" s="102">
        <v>0</v>
      </c>
      <c r="Z528" s="102">
        <v>0</v>
      </c>
      <c r="AA528" s="102">
        <v>0</v>
      </c>
    </row>
    <row r="529" spans="1:27" x14ac:dyDescent="0.25">
      <c r="A529" s="15" t="s">
        <v>185</v>
      </c>
      <c r="D529" s="20">
        <v>0</v>
      </c>
      <c r="E529" s="20">
        <v>0</v>
      </c>
      <c r="F529" s="20">
        <v>0</v>
      </c>
      <c r="G529" s="20">
        <v>0</v>
      </c>
      <c r="H529" s="20">
        <v>0</v>
      </c>
      <c r="I529" s="20">
        <v>0</v>
      </c>
      <c r="J529" s="20">
        <v>0</v>
      </c>
      <c r="K529" s="20">
        <v>0</v>
      </c>
      <c r="L529" s="20">
        <v>0</v>
      </c>
      <c r="M529" s="20">
        <v>0</v>
      </c>
      <c r="N529" s="20">
        <v>0</v>
      </c>
      <c r="O529" s="20">
        <v>0</v>
      </c>
      <c r="P529" s="20">
        <v>0</v>
      </c>
      <c r="R529" s="102">
        <v>0</v>
      </c>
      <c r="S529" s="102">
        <v>0</v>
      </c>
      <c r="T529" s="102">
        <v>0</v>
      </c>
      <c r="U529" s="102">
        <v>0</v>
      </c>
      <c r="W529" s="246">
        <f t="shared" ref="W529:W531" si="485">SUM(R529:U529)</f>
        <v>0</v>
      </c>
      <c r="X529" s="102">
        <v>0</v>
      </c>
      <c r="Y529" s="102">
        <v>0</v>
      </c>
      <c r="Z529" s="102">
        <v>0</v>
      </c>
      <c r="AA529" s="102">
        <v>0</v>
      </c>
    </row>
    <row r="530" spans="1:27" x14ac:dyDescent="0.25">
      <c r="A530" s="15" t="s">
        <v>186</v>
      </c>
      <c r="D530" s="20">
        <v>0</v>
      </c>
      <c r="E530" s="20">
        <v>0</v>
      </c>
      <c r="F530" s="20">
        <v>0</v>
      </c>
      <c r="G530" s="20">
        <v>0</v>
      </c>
      <c r="H530" s="20">
        <v>0</v>
      </c>
      <c r="I530" s="20">
        <v>0</v>
      </c>
      <c r="J530" s="20">
        <v>0</v>
      </c>
      <c r="K530" s="20">
        <v>0</v>
      </c>
      <c r="L530" s="20">
        <v>0</v>
      </c>
      <c r="M530" s="20">
        <v>0</v>
      </c>
      <c r="N530" s="20">
        <v>0</v>
      </c>
      <c r="O530" s="20">
        <v>0</v>
      </c>
      <c r="P530" s="20">
        <v>0</v>
      </c>
      <c r="R530" s="102">
        <v>0</v>
      </c>
      <c r="S530" s="102">
        <v>0</v>
      </c>
      <c r="T530" s="102">
        <v>0</v>
      </c>
      <c r="U530" s="102">
        <v>0</v>
      </c>
      <c r="W530" s="246">
        <f t="shared" si="485"/>
        <v>0</v>
      </c>
      <c r="X530" s="102">
        <v>0</v>
      </c>
      <c r="Y530" s="102">
        <v>0</v>
      </c>
      <c r="Z530" s="102">
        <v>0</v>
      </c>
      <c r="AA530" s="102">
        <v>0</v>
      </c>
    </row>
    <row r="531" spans="1:27" x14ac:dyDescent="0.25">
      <c r="A531" s="15" t="s">
        <v>187</v>
      </c>
      <c r="D531" s="22">
        <v>-1</v>
      </c>
      <c r="E531" s="22">
        <f>-1-D531</f>
        <v>0</v>
      </c>
      <c r="F531" s="22">
        <f>-1-D531-E531</f>
        <v>0</v>
      </c>
      <c r="G531" s="22">
        <f>-1-F531-E531-D531</f>
        <v>0</v>
      </c>
      <c r="H531" s="22">
        <v>0</v>
      </c>
      <c r="I531" s="22">
        <v>0</v>
      </c>
      <c r="J531" s="22">
        <v>0</v>
      </c>
      <c r="K531" s="22">
        <v>0</v>
      </c>
      <c r="L531" s="22">
        <v>0</v>
      </c>
      <c r="M531" s="22">
        <v>-1</v>
      </c>
      <c r="N531" s="22">
        <v>0</v>
      </c>
      <c r="O531" s="22">
        <f>-2-SUM(L531:N531)</f>
        <v>-1</v>
      </c>
      <c r="P531" s="22">
        <v>0</v>
      </c>
      <c r="R531" s="103">
        <v>0</v>
      </c>
      <c r="S531" s="103">
        <v>0</v>
      </c>
      <c r="T531" s="103">
        <v>0</v>
      </c>
      <c r="U531" s="103">
        <v>0</v>
      </c>
      <c r="W531" s="247">
        <f t="shared" si="485"/>
        <v>0</v>
      </c>
      <c r="X531" s="103">
        <v>0</v>
      </c>
      <c r="Y531" s="103">
        <v>0</v>
      </c>
      <c r="Z531" s="103">
        <v>0</v>
      </c>
      <c r="AA531" s="103">
        <v>0</v>
      </c>
    </row>
    <row r="532" spans="1:27" x14ac:dyDescent="0.25">
      <c r="A532" s="9" t="s">
        <v>188</v>
      </c>
      <c r="D532" s="19">
        <f t="shared" ref="D532:P532" si="486">SUM(D528:D531)</f>
        <v>15</v>
      </c>
      <c r="E532" s="19">
        <f t="shared" si="486"/>
        <v>16</v>
      </c>
      <c r="F532" s="19">
        <f t="shared" si="486"/>
        <v>9</v>
      </c>
      <c r="G532" s="19">
        <f t="shared" si="486"/>
        <v>9</v>
      </c>
      <c r="H532" s="19">
        <f t="shared" si="486"/>
        <v>13</v>
      </c>
      <c r="I532" s="19">
        <f t="shared" si="486"/>
        <v>17</v>
      </c>
      <c r="J532" s="23">
        <f t="shared" si="486"/>
        <v>15</v>
      </c>
      <c r="K532" s="19">
        <f t="shared" si="486"/>
        <v>6</v>
      </c>
      <c r="L532" s="19">
        <f t="shared" si="486"/>
        <v>17</v>
      </c>
      <c r="M532" s="19">
        <f t="shared" si="486"/>
        <v>26</v>
      </c>
      <c r="N532" s="19">
        <f t="shared" si="486"/>
        <v>23</v>
      </c>
      <c r="O532" s="19">
        <f t="shared" si="486"/>
        <v>19</v>
      </c>
      <c r="P532" s="19">
        <f t="shared" si="486"/>
        <v>17</v>
      </c>
      <c r="R532" s="19">
        <f>SUM(R528:R531)</f>
        <v>0</v>
      </c>
      <c r="S532" s="19">
        <f t="shared" ref="S532" si="487">SUM(S528:S531)</f>
        <v>0</v>
      </c>
      <c r="T532" s="19">
        <f t="shared" ref="T532" si="488">SUM(T528:T531)</f>
        <v>0</v>
      </c>
      <c r="U532" s="19">
        <f t="shared" ref="U532" si="489">SUM(U528:U531)</f>
        <v>0</v>
      </c>
      <c r="W532" s="19">
        <f>SUM(W528:W531)</f>
        <v>0</v>
      </c>
      <c r="X532" s="19">
        <f>SUM(X528:X531)</f>
        <v>0</v>
      </c>
      <c r="Y532" s="19">
        <f t="shared" ref="Y532" si="490">SUM(Y528:Y531)</f>
        <v>0</v>
      </c>
      <c r="Z532" s="19">
        <f t="shared" ref="Z532" si="491">SUM(Z528:Z531)</f>
        <v>0</v>
      </c>
      <c r="AA532" s="19">
        <f t="shared" ref="AA532" si="492">SUM(AA528:AA531)</f>
        <v>0</v>
      </c>
    </row>
    <row r="533" spans="1:27" x14ac:dyDescent="0.25">
      <c r="A533" s="9"/>
      <c r="D533" s="19"/>
      <c r="E533" s="19"/>
      <c r="F533" s="19"/>
      <c r="G533" s="19"/>
      <c r="H533" s="19"/>
      <c r="I533" s="19"/>
      <c r="J533" s="23"/>
      <c r="K533" s="19"/>
      <c r="L533" s="19"/>
      <c r="M533" s="19"/>
      <c r="N533" s="19"/>
      <c r="O533" s="19"/>
      <c r="P533" s="19"/>
      <c r="R533" s="19"/>
      <c r="S533" s="19"/>
      <c r="T533" s="19"/>
      <c r="U533" s="19"/>
      <c r="W533" s="82"/>
      <c r="X533" s="19"/>
      <c r="Y533" s="19"/>
      <c r="Z533" s="19"/>
      <c r="AA533" s="19"/>
    </row>
    <row r="534" spans="1:27" x14ac:dyDescent="0.25">
      <c r="A534" s="15" t="s">
        <v>189</v>
      </c>
      <c r="D534" s="20">
        <v>0</v>
      </c>
      <c r="E534" s="20">
        <v>0</v>
      </c>
      <c r="F534" s="20">
        <v>0</v>
      </c>
      <c r="G534" s="20">
        <v>0</v>
      </c>
      <c r="H534" s="20">
        <v>0</v>
      </c>
      <c r="I534" s="20">
        <v>0</v>
      </c>
      <c r="J534" s="20">
        <v>0</v>
      </c>
      <c r="K534" s="20">
        <v>0</v>
      </c>
      <c r="L534" s="20">
        <v>0</v>
      </c>
      <c r="M534" s="20">
        <v>0</v>
      </c>
      <c r="N534" s="20">
        <v>0</v>
      </c>
      <c r="O534" s="20">
        <v>0</v>
      </c>
      <c r="P534" s="20">
        <v>0</v>
      </c>
      <c r="R534" s="102">
        <v>0</v>
      </c>
      <c r="S534" s="102">
        <v>0</v>
      </c>
      <c r="T534" s="102">
        <v>0</v>
      </c>
      <c r="U534" s="102">
        <v>0</v>
      </c>
      <c r="W534" s="246">
        <f>SUM(R534:U534)</f>
        <v>0</v>
      </c>
      <c r="X534" s="102">
        <v>0</v>
      </c>
      <c r="Y534" s="102">
        <v>0</v>
      </c>
      <c r="Z534" s="102">
        <v>0</v>
      </c>
      <c r="AA534" s="102">
        <v>0</v>
      </c>
    </row>
    <row r="535" spans="1:27" x14ac:dyDescent="0.25">
      <c r="A535" s="15" t="s">
        <v>190</v>
      </c>
      <c r="D535" s="20">
        <v>0</v>
      </c>
      <c r="E535" s="20">
        <v>0</v>
      </c>
      <c r="F535" s="20">
        <v>0</v>
      </c>
      <c r="G535" s="20">
        <v>0</v>
      </c>
      <c r="H535" s="20">
        <v>0</v>
      </c>
      <c r="I535" s="20">
        <v>0</v>
      </c>
      <c r="J535" s="20">
        <v>0</v>
      </c>
      <c r="K535" s="20">
        <v>0</v>
      </c>
      <c r="L535" s="20">
        <v>0</v>
      </c>
      <c r="M535" s="20">
        <v>0</v>
      </c>
      <c r="N535" s="20">
        <v>0</v>
      </c>
      <c r="O535" s="20">
        <v>0</v>
      </c>
      <c r="P535" s="20">
        <v>0</v>
      </c>
      <c r="R535" s="102">
        <v>0</v>
      </c>
      <c r="S535" s="102">
        <v>0</v>
      </c>
      <c r="T535" s="102">
        <v>0</v>
      </c>
      <c r="U535" s="102">
        <v>0</v>
      </c>
      <c r="W535" s="246">
        <f t="shared" ref="W535:W536" si="493">SUM(R535:U535)</f>
        <v>0</v>
      </c>
      <c r="X535" s="102">
        <v>0</v>
      </c>
      <c r="Y535" s="102">
        <v>0</v>
      </c>
      <c r="Z535" s="102">
        <v>0</v>
      </c>
      <c r="AA535" s="102">
        <v>0</v>
      </c>
    </row>
    <row r="536" spans="1:27" x14ac:dyDescent="0.25">
      <c r="A536" s="15" t="s">
        <v>191</v>
      </c>
      <c r="D536" s="22">
        <v>-1</v>
      </c>
      <c r="E536" s="22">
        <f>-1-D536</f>
        <v>0</v>
      </c>
      <c r="F536" s="22">
        <f>-1-E536-D536</f>
        <v>0</v>
      </c>
      <c r="G536" s="22">
        <f>-1-F536-E536-D536</f>
        <v>0</v>
      </c>
      <c r="H536" s="22">
        <v>-1</v>
      </c>
      <c r="I536" s="22">
        <f>-1-H536</f>
        <v>0</v>
      </c>
      <c r="J536" s="22">
        <f>-2-I536-H536</f>
        <v>-1</v>
      </c>
      <c r="K536" s="22">
        <f>-2-J536-I536-H536</f>
        <v>0</v>
      </c>
      <c r="L536" s="22">
        <v>0</v>
      </c>
      <c r="M536" s="22">
        <v>0</v>
      </c>
      <c r="N536" s="22">
        <v>0</v>
      </c>
      <c r="O536" s="22">
        <v>-1</v>
      </c>
      <c r="P536" s="22">
        <v>-1</v>
      </c>
      <c r="R536" s="103">
        <v>0</v>
      </c>
      <c r="S536" s="103">
        <v>0</v>
      </c>
      <c r="T536" s="103">
        <v>0</v>
      </c>
      <c r="U536" s="103">
        <v>0</v>
      </c>
      <c r="W536" s="247">
        <f t="shared" si="493"/>
        <v>0</v>
      </c>
      <c r="X536" s="103">
        <v>0</v>
      </c>
      <c r="Y536" s="103">
        <v>0</v>
      </c>
      <c r="Z536" s="103">
        <v>0</v>
      </c>
      <c r="AA536" s="103">
        <v>0</v>
      </c>
    </row>
    <row r="537" spans="1:27" x14ac:dyDescent="0.25">
      <c r="A537" s="9" t="s">
        <v>195</v>
      </c>
      <c r="D537" s="19">
        <f t="shared" ref="D537:P537" si="494">D527+SUM(D532:D536)</f>
        <v>2407</v>
      </c>
      <c r="E537" s="19">
        <f t="shared" si="494"/>
        <v>2423</v>
      </c>
      <c r="F537" s="19">
        <f t="shared" si="494"/>
        <v>2432</v>
      </c>
      <c r="G537" s="19">
        <f t="shared" si="494"/>
        <v>2441</v>
      </c>
      <c r="H537" s="19">
        <f t="shared" si="494"/>
        <v>2453</v>
      </c>
      <c r="I537" s="19">
        <f t="shared" si="494"/>
        <v>2470</v>
      </c>
      <c r="J537" s="23">
        <f t="shared" si="494"/>
        <v>2484</v>
      </c>
      <c r="K537" s="19">
        <f t="shared" si="494"/>
        <v>2490</v>
      </c>
      <c r="L537" s="19">
        <f t="shared" si="494"/>
        <v>2507</v>
      </c>
      <c r="M537" s="19">
        <f t="shared" si="494"/>
        <v>2533</v>
      </c>
      <c r="N537" s="19">
        <f t="shared" si="494"/>
        <v>2556</v>
      </c>
      <c r="O537" s="19">
        <f t="shared" si="494"/>
        <v>2574</v>
      </c>
      <c r="P537" s="19">
        <f t="shared" si="494"/>
        <v>2590</v>
      </c>
      <c r="R537" s="19">
        <f t="shared" ref="R537:U537" si="495">R527+SUM(R532:R536)</f>
        <v>2590</v>
      </c>
      <c r="S537" s="19">
        <f t="shared" si="495"/>
        <v>2590</v>
      </c>
      <c r="T537" s="19">
        <f t="shared" si="495"/>
        <v>2590</v>
      </c>
      <c r="U537" s="19">
        <f t="shared" si="495"/>
        <v>2590</v>
      </c>
      <c r="W537" s="19">
        <f t="shared" ref="W537" si="496">W527+SUM(W532:W536)</f>
        <v>2590</v>
      </c>
      <c r="X537" s="19">
        <f t="shared" ref="X537:AA537" si="497">X527+SUM(X532:X536)</f>
        <v>2590</v>
      </c>
      <c r="Y537" s="19">
        <f t="shared" si="497"/>
        <v>2590</v>
      </c>
      <c r="Z537" s="19">
        <f t="shared" si="497"/>
        <v>2590</v>
      </c>
      <c r="AA537" s="19">
        <f t="shared" si="497"/>
        <v>2590</v>
      </c>
    </row>
    <row r="538" spans="1:27" x14ac:dyDescent="0.25">
      <c r="A538" s="15"/>
      <c r="D538" s="15"/>
      <c r="E538" s="15"/>
      <c r="F538" s="15"/>
      <c r="G538" s="15"/>
      <c r="H538" s="15"/>
      <c r="I538" s="15"/>
      <c r="J538" s="15"/>
      <c r="K538" s="15"/>
      <c r="L538" s="15"/>
      <c r="M538" s="15"/>
      <c r="N538" s="15"/>
      <c r="O538" s="15"/>
      <c r="P538" s="15"/>
      <c r="R538" s="15"/>
      <c r="S538" s="15"/>
      <c r="T538" s="15"/>
      <c r="U538" s="15"/>
      <c r="W538" s="82"/>
      <c r="X538" s="15"/>
      <c r="Y538" s="15"/>
      <c r="Z538" s="15"/>
      <c r="AA538" s="15"/>
    </row>
    <row r="539" spans="1:27" x14ac:dyDescent="0.25">
      <c r="A539" s="26" t="s">
        <v>132</v>
      </c>
      <c r="D539" s="15"/>
      <c r="E539" s="15"/>
      <c r="F539" s="15"/>
      <c r="G539" s="15"/>
      <c r="H539" s="15"/>
      <c r="I539" s="15"/>
      <c r="J539" s="15"/>
      <c r="K539" s="15"/>
      <c r="L539" s="15"/>
      <c r="M539" s="15"/>
      <c r="N539" s="15"/>
      <c r="O539" s="15"/>
      <c r="P539" s="15"/>
      <c r="R539" s="15"/>
      <c r="S539" s="15"/>
      <c r="T539" s="15"/>
      <c r="U539" s="15"/>
      <c r="W539" s="82"/>
      <c r="X539" s="15"/>
      <c r="Y539" s="15"/>
      <c r="Z539" s="15"/>
      <c r="AA539" s="15"/>
    </row>
    <row r="540" spans="1:27" x14ac:dyDescent="0.25">
      <c r="A540" s="15" t="s">
        <v>183</v>
      </c>
      <c r="D540" s="20">
        <v>1158</v>
      </c>
      <c r="E540" s="20">
        <f>D550</f>
        <v>1181</v>
      </c>
      <c r="F540" s="20">
        <f>E550</f>
        <v>1212</v>
      </c>
      <c r="G540" s="20">
        <f>F550</f>
        <v>1216</v>
      </c>
      <c r="H540" s="20">
        <v>1228</v>
      </c>
      <c r="I540" s="20">
        <f t="shared" ref="I540:P540" si="498">H550</f>
        <v>1226</v>
      </c>
      <c r="J540" s="20">
        <f t="shared" si="498"/>
        <v>1226</v>
      </c>
      <c r="K540" s="20">
        <f t="shared" si="498"/>
        <v>1226</v>
      </c>
      <c r="L540" s="20">
        <f t="shared" si="498"/>
        <v>1210</v>
      </c>
      <c r="M540" s="20">
        <f t="shared" si="498"/>
        <v>1198</v>
      </c>
      <c r="N540" s="20">
        <f t="shared" si="498"/>
        <v>1188</v>
      </c>
      <c r="O540" s="20">
        <f t="shared" si="498"/>
        <v>1182</v>
      </c>
      <c r="P540" s="20">
        <f t="shared" si="498"/>
        <v>1176</v>
      </c>
      <c r="R540" s="20">
        <f>P550</f>
        <v>1159</v>
      </c>
      <c r="S540" s="20">
        <f>R550</f>
        <v>1159</v>
      </c>
      <c r="T540" s="20">
        <f t="shared" ref="T540:U540" si="499">S550</f>
        <v>1159</v>
      </c>
      <c r="U540" s="20">
        <f t="shared" si="499"/>
        <v>1159</v>
      </c>
      <c r="W540" s="246">
        <f>R540</f>
        <v>1159</v>
      </c>
      <c r="X540" s="20">
        <f>W550</f>
        <v>1159</v>
      </c>
      <c r="Y540" s="20">
        <f>X550</f>
        <v>1159</v>
      </c>
      <c r="Z540" s="20">
        <f t="shared" ref="Z540:AA540" si="500">Y550</f>
        <v>1159</v>
      </c>
      <c r="AA540" s="20">
        <f t="shared" si="500"/>
        <v>1159</v>
      </c>
    </row>
    <row r="541" spans="1:27" x14ac:dyDescent="0.25">
      <c r="A541" s="15" t="s">
        <v>184</v>
      </c>
      <c r="D541" s="20">
        <v>13</v>
      </c>
      <c r="E541" s="20">
        <f>26-D541</f>
        <v>13</v>
      </c>
      <c r="F541" s="20">
        <f>38-E541-D541</f>
        <v>12</v>
      </c>
      <c r="G541" s="20">
        <f>65-F541-E541-D541</f>
        <v>27</v>
      </c>
      <c r="H541" s="20">
        <v>15</v>
      </c>
      <c r="I541" s="20">
        <f>34-H541</f>
        <v>19</v>
      </c>
      <c r="J541" s="20">
        <f>47-I541-H541</f>
        <v>13</v>
      </c>
      <c r="K541" s="20">
        <f>55-J541-I541-H541</f>
        <v>8</v>
      </c>
      <c r="L541" s="20">
        <v>5</v>
      </c>
      <c r="M541" s="20">
        <v>4</v>
      </c>
      <c r="N541" s="20">
        <v>4</v>
      </c>
      <c r="O541" s="20">
        <f>15-SUM(L541:N541)</f>
        <v>2</v>
      </c>
      <c r="P541" s="20">
        <v>4</v>
      </c>
      <c r="R541" s="102">
        <v>0</v>
      </c>
      <c r="S541" s="102">
        <v>0</v>
      </c>
      <c r="T541" s="102">
        <v>0</v>
      </c>
      <c r="U541" s="102">
        <v>0</v>
      </c>
      <c r="W541" s="246">
        <f>SUM(R541:U541)</f>
        <v>0</v>
      </c>
      <c r="X541" s="102">
        <v>0</v>
      </c>
      <c r="Y541" s="102">
        <v>0</v>
      </c>
      <c r="Z541" s="102">
        <v>0</v>
      </c>
      <c r="AA541" s="102">
        <v>0</v>
      </c>
    </row>
    <row r="542" spans="1:27" x14ac:dyDescent="0.25">
      <c r="A542" s="15" t="s">
        <v>185</v>
      </c>
      <c r="D542" s="20">
        <v>1</v>
      </c>
      <c r="E542" s="20">
        <f>1-D542</f>
        <v>0</v>
      </c>
      <c r="F542" s="20">
        <f>1-E542-D542</f>
        <v>0</v>
      </c>
      <c r="G542" s="20">
        <f>1-F542-E542-D542</f>
        <v>0</v>
      </c>
      <c r="H542" s="20">
        <v>0</v>
      </c>
      <c r="I542" s="20">
        <v>0</v>
      </c>
      <c r="J542" s="20">
        <v>0</v>
      </c>
      <c r="K542" s="20">
        <v>0</v>
      </c>
      <c r="L542" s="20">
        <v>0</v>
      </c>
      <c r="M542" s="20">
        <v>0</v>
      </c>
      <c r="N542" s="20">
        <v>0</v>
      </c>
      <c r="O542" s="20">
        <v>0</v>
      </c>
      <c r="P542" s="20">
        <v>0</v>
      </c>
      <c r="R542" s="102">
        <v>0</v>
      </c>
      <c r="S542" s="102">
        <v>0</v>
      </c>
      <c r="T542" s="102">
        <v>0</v>
      </c>
      <c r="U542" s="102">
        <v>0</v>
      </c>
      <c r="W542" s="246">
        <f t="shared" ref="W542:W544" si="501">SUM(R542:U542)</f>
        <v>0</v>
      </c>
      <c r="X542" s="102">
        <v>0</v>
      </c>
      <c r="Y542" s="102">
        <v>0</v>
      </c>
      <c r="Z542" s="102">
        <v>0</v>
      </c>
      <c r="AA542" s="102">
        <v>0</v>
      </c>
    </row>
    <row r="543" spans="1:27" x14ac:dyDescent="0.25">
      <c r="A543" s="15" t="s">
        <v>186</v>
      </c>
      <c r="D543" s="20">
        <v>0</v>
      </c>
      <c r="E543" s="20">
        <f>2-D543</f>
        <v>2</v>
      </c>
      <c r="F543" s="20">
        <f>2-E543-D543</f>
        <v>0</v>
      </c>
      <c r="G543" s="20">
        <f>5-F543-E543-D543</f>
        <v>3</v>
      </c>
      <c r="H543" s="20">
        <v>0</v>
      </c>
      <c r="I543" s="21">
        <f>1-H543</f>
        <v>1</v>
      </c>
      <c r="J543" s="21">
        <f>1-I543-H543</f>
        <v>0</v>
      </c>
      <c r="K543" s="21">
        <f>0-J543-I543-H543</f>
        <v>-1</v>
      </c>
      <c r="L543" s="21">
        <v>1</v>
      </c>
      <c r="M543" s="21">
        <v>0</v>
      </c>
      <c r="N543" s="21">
        <v>0</v>
      </c>
      <c r="O543" s="21">
        <f>1-SUM(L543:N543)</f>
        <v>0</v>
      </c>
      <c r="P543" s="21">
        <v>0</v>
      </c>
      <c r="R543" s="102">
        <v>0</v>
      </c>
      <c r="S543" s="102">
        <v>0</v>
      </c>
      <c r="T543" s="102">
        <v>0</v>
      </c>
      <c r="U543" s="102">
        <v>0</v>
      </c>
      <c r="W543" s="246">
        <f t="shared" si="501"/>
        <v>0</v>
      </c>
      <c r="X543" s="102">
        <v>0</v>
      </c>
      <c r="Y543" s="102">
        <v>0</v>
      </c>
      <c r="Z543" s="102">
        <v>0</v>
      </c>
      <c r="AA543" s="102">
        <v>0</v>
      </c>
    </row>
    <row r="544" spans="1:27" x14ac:dyDescent="0.25">
      <c r="A544" s="15" t="s">
        <v>187</v>
      </c>
      <c r="D544" s="22">
        <v>-2</v>
      </c>
      <c r="E544" s="22">
        <f>-5-D544</f>
        <v>-3</v>
      </c>
      <c r="F544" s="22">
        <f>-5-E544-D544</f>
        <v>0</v>
      </c>
      <c r="G544" s="22">
        <f>-9-F544-E544-D544</f>
        <v>-4</v>
      </c>
      <c r="H544" s="22">
        <v>-3</v>
      </c>
      <c r="I544" s="22">
        <f>-6-H544</f>
        <v>-3</v>
      </c>
      <c r="J544" s="22">
        <f>-8-I544-H544</f>
        <v>-2</v>
      </c>
      <c r="K544" s="22">
        <f>-10-J544-I544-H544</f>
        <v>-2</v>
      </c>
      <c r="L544" s="22">
        <v>0</v>
      </c>
      <c r="M544" s="22">
        <v>-1</v>
      </c>
      <c r="N544" s="22">
        <v>-1</v>
      </c>
      <c r="O544" s="22">
        <f>-2-SUM(L544:N544)</f>
        <v>0</v>
      </c>
      <c r="P544" s="22">
        <v>-2</v>
      </c>
      <c r="R544" s="103">
        <v>0</v>
      </c>
      <c r="S544" s="103">
        <v>0</v>
      </c>
      <c r="T544" s="103">
        <v>0</v>
      </c>
      <c r="U544" s="103">
        <v>0</v>
      </c>
      <c r="W544" s="247">
        <f t="shared" si="501"/>
        <v>0</v>
      </c>
      <c r="X544" s="103">
        <v>0</v>
      </c>
      <c r="Y544" s="103">
        <v>0</v>
      </c>
      <c r="Z544" s="103">
        <v>0</v>
      </c>
      <c r="AA544" s="103">
        <v>0</v>
      </c>
    </row>
    <row r="545" spans="1:27" x14ac:dyDescent="0.25">
      <c r="A545" s="9" t="s">
        <v>188</v>
      </c>
      <c r="D545" s="19">
        <f t="shared" ref="D545:P545" si="502">SUM(D541:D544)</f>
        <v>12</v>
      </c>
      <c r="E545" s="19">
        <f t="shared" si="502"/>
        <v>12</v>
      </c>
      <c r="F545" s="19">
        <f t="shared" si="502"/>
        <v>12</v>
      </c>
      <c r="G545" s="19">
        <f t="shared" si="502"/>
        <v>26</v>
      </c>
      <c r="H545" s="19">
        <f t="shared" si="502"/>
        <v>12</v>
      </c>
      <c r="I545" s="19">
        <f t="shared" si="502"/>
        <v>17</v>
      </c>
      <c r="J545" s="23">
        <f t="shared" si="502"/>
        <v>11</v>
      </c>
      <c r="K545" s="19">
        <f t="shared" si="502"/>
        <v>5</v>
      </c>
      <c r="L545" s="19">
        <f t="shared" si="502"/>
        <v>6</v>
      </c>
      <c r="M545" s="19">
        <f t="shared" si="502"/>
        <v>3</v>
      </c>
      <c r="N545" s="19">
        <f t="shared" si="502"/>
        <v>3</v>
      </c>
      <c r="O545" s="19">
        <f t="shared" si="502"/>
        <v>2</v>
      </c>
      <c r="P545" s="19">
        <f t="shared" si="502"/>
        <v>2</v>
      </c>
      <c r="R545" s="19">
        <f>SUM(R541:R544)</f>
        <v>0</v>
      </c>
      <c r="S545" s="19">
        <f t="shared" ref="S545" si="503">SUM(S541:S544)</f>
        <v>0</v>
      </c>
      <c r="T545" s="19">
        <f t="shared" ref="T545" si="504">SUM(T541:T544)</f>
        <v>0</v>
      </c>
      <c r="U545" s="19">
        <f t="shared" ref="U545" si="505">SUM(U541:U544)</f>
        <v>0</v>
      </c>
      <c r="W545" s="19">
        <f>SUM(W541:W544)</f>
        <v>0</v>
      </c>
      <c r="X545" s="19">
        <f>SUM(X541:X544)</f>
        <v>0</v>
      </c>
      <c r="Y545" s="19">
        <f t="shared" ref="Y545" si="506">SUM(Y541:Y544)</f>
        <v>0</v>
      </c>
      <c r="Z545" s="19">
        <f t="shared" ref="Z545" si="507">SUM(Z541:Z544)</f>
        <v>0</v>
      </c>
      <c r="AA545" s="19">
        <f t="shared" ref="AA545" si="508">SUM(AA541:AA544)</f>
        <v>0</v>
      </c>
    </row>
    <row r="546" spans="1:27" x14ac:dyDescent="0.25">
      <c r="A546" s="9"/>
      <c r="D546" s="19"/>
      <c r="E546" s="19"/>
      <c r="F546" s="19"/>
      <c r="G546" s="19"/>
      <c r="H546" s="19"/>
      <c r="I546" s="19"/>
      <c r="J546" s="23"/>
      <c r="K546" s="19"/>
      <c r="L546" s="19"/>
      <c r="M546" s="19"/>
      <c r="N546" s="19"/>
      <c r="O546" s="19"/>
      <c r="P546" s="19"/>
      <c r="R546" s="19"/>
      <c r="S546" s="19"/>
      <c r="T546" s="19"/>
      <c r="U546" s="19"/>
      <c r="W546" s="82"/>
      <c r="X546" s="19"/>
      <c r="Y546" s="19"/>
      <c r="Z546" s="19"/>
      <c r="AA546" s="19"/>
    </row>
    <row r="547" spans="1:27" x14ac:dyDescent="0.25">
      <c r="A547" s="15" t="s">
        <v>189</v>
      </c>
      <c r="D547" s="20">
        <v>19</v>
      </c>
      <c r="E547" s="20">
        <f>56-D547</f>
        <v>37</v>
      </c>
      <c r="F547" s="20">
        <f>56-E547-D547</f>
        <v>0</v>
      </c>
      <c r="G547" s="20">
        <f>56-F547-E547-D547</f>
        <v>0</v>
      </c>
      <c r="H547" s="20">
        <v>0</v>
      </c>
      <c r="I547" s="20">
        <v>0</v>
      </c>
      <c r="J547" s="20">
        <v>0</v>
      </c>
      <c r="K547" s="20">
        <v>0</v>
      </c>
      <c r="L547" s="20">
        <v>0</v>
      </c>
      <c r="M547" s="20">
        <v>0</v>
      </c>
      <c r="N547" s="20">
        <v>2</v>
      </c>
      <c r="O547" s="20">
        <f>18-SUM(L547:N547)</f>
        <v>16</v>
      </c>
      <c r="P547" s="20">
        <v>0</v>
      </c>
      <c r="R547" s="102">
        <v>0</v>
      </c>
      <c r="S547" s="102">
        <v>0</v>
      </c>
      <c r="T547" s="102">
        <v>0</v>
      </c>
      <c r="U547" s="102">
        <v>0</v>
      </c>
      <c r="W547" s="246">
        <f>SUM(R547:U547)</f>
        <v>0</v>
      </c>
      <c r="X547" s="102">
        <v>0</v>
      </c>
      <c r="Y547" s="102">
        <v>0</v>
      </c>
      <c r="Z547" s="102">
        <v>0</v>
      </c>
      <c r="AA547" s="102">
        <v>0</v>
      </c>
    </row>
    <row r="548" spans="1:27" x14ac:dyDescent="0.25">
      <c r="A548" s="15" t="s">
        <v>190</v>
      </c>
      <c r="D548" s="20">
        <v>0</v>
      </c>
      <c r="E548" s="20">
        <v>0</v>
      </c>
      <c r="F548" s="20">
        <v>0</v>
      </c>
      <c r="G548" s="20">
        <v>0</v>
      </c>
      <c r="H548" s="20">
        <v>-2</v>
      </c>
      <c r="I548" s="20">
        <f>-6-H548</f>
        <v>-4</v>
      </c>
      <c r="J548" s="20">
        <f>-8-I548-H548</f>
        <v>-2</v>
      </c>
      <c r="K548" s="20">
        <f>-14-J548-I548-H548</f>
        <v>-6</v>
      </c>
      <c r="L548" s="20">
        <v>-4</v>
      </c>
      <c r="M548" s="20">
        <v>-2</v>
      </c>
      <c r="N548" s="20">
        <v>-3</v>
      </c>
      <c r="O548" s="20">
        <f>-22-SUM(L548:N548)</f>
        <v>-13</v>
      </c>
      <c r="P548" s="20">
        <v>-9</v>
      </c>
      <c r="R548" s="102">
        <v>0</v>
      </c>
      <c r="S548" s="102">
        <v>0</v>
      </c>
      <c r="T548" s="102">
        <v>0</v>
      </c>
      <c r="U548" s="102">
        <v>0</v>
      </c>
      <c r="W548" s="246">
        <f t="shared" ref="W548:W549" si="509">SUM(R548:U548)</f>
        <v>0</v>
      </c>
      <c r="X548" s="102">
        <v>0</v>
      </c>
      <c r="Y548" s="102">
        <v>0</v>
      </c>
      <c r="Z548" s="102">
        <v>0</v>
      </c>
      <c r="AA548" s="102">
        <v>0</v>
      </c>
    </row>
    <row r="549" spans="1:27" x14ac:dyDescent="0.25">
      <c r="A549" s="15" t="s">
        <v>191</v>
      </c>
      <c r="D549" s="22">
        <v>-8</v>
      </c>
      <c r="E549" s="22">
        <f>-26-D549</f>
        <v>-18</v>
      </c>
      <c r="F549" s="22">
        <f>-34-E549-D549</f>
        <v>-8</v>
      </c>
      <c r="G549" s="22">
        <f>-48-F549-E549-D549</f>
        <v>-14</v>
      </c>
      <c r="H549" s="22">
        <v>-12</v>
      </c>
      <c r="I549" s="22">
        <f>-25-H549</f>
        <v>-13</v>
      </c>
      <c r="J549" s="22">
        <f>-34-I549-H549</f>
        <v>-9</v>
      </c>
      <c r="K549" s="22">
        <f>-49-J549-I549-H549</f>
        <v>-15</v>
      </c>
      <c r="L549" s="22">
        <v>-14</v>
      </c>
      <c r="M549" s="22">
        <v>-11</v>
      </c>
      <c r="N549" s="22">
        <v>-8</v>
      </c>
      <c r="O549" s="22">
        <f>-44-SUM(L549:N549)</f>
        <v>-11</v>
      </c>
      <c r="P549" s="22">
        <v>-10</v>
      </c>
      <c r="R549" s="103">
        <v>0</v>
      </c>
      <c r="S549" s="103">
        <v>0</v>
      </c>
      <c r="T549" s="103">
        <v>0</v>
      </c>
      <c r="U549" s="103">
        <v>0</v>
      </c>
      <c r="W549" s="247">
        <f t="shared" si="509"/>
        <v>0</v>
      </c>
      <c r="X549" s="103">
        <v>0</v>
      </c>
      <c r="Y549" s="103">
        <v>0</v>
      </c>
      <c r="Z549" s="103">
        <v>0</v>
      </c>
      <c r="AA549" s="103">
        <v>0</v>
      </c>
    </row>
    <row r="550" spans="1:27" x14ac:dyDescent="0.25">
      <c r="A550" s="9" t="s">
        <v>196</v>
      </c>
      <c r="D550" s="19">
        <f t="shared" ref="D550:P550" si="510">D540+SUM(D545:D549)</f>
        <v>1181</v>
      </c>
      <c r="E550" s="19">
        <f t="shared" si="510"/>
        <v>1212</v>
      </c>
      <c r="F550" s="19">
        <f t="shared" si="510"/>
        <v>1216</v>
      </c>
      <c r="G550" s="19">
        <f t="shared" si="510"/>
        <v>1228</v>
      </c>
      <c r="H550" s="19">
        <f t="shared" si="510"/>
        <v>1226</v>
      </c>
      <c r="I550" s="19">
        <f t="shared" si="510"/>
        <v>1226</v>
      </c>
      <c r="J550" s="23">
        <f t="shared" si="510"/>
        <v>1226</v>
      </c>
      <c r="K550" s="19">
        <f t="shared" si="510"/>
        <v>1210</v>
      </c>
      <c r="L550" s="19">
        <f t="shared" si="510"/>
        <v>1198</v>
      </c>
      <c r="M550" s="19">
        <f t="shared" si="510"/>
        <v>1188</v>
      </c>
      <c r="N550" s="19">
        <f t="shared" si="510"/>
        <v>1182</v>
      </c>
      <c r="O550" s="19">
        <f t="shared" si="510"/>
        <v>1176</v>
      </c>
      <c r="P550" s="19">
        <f t="shared" si="510"/>
        <v>1159</v>
      </c>
      <c r="R550" s="19">
        <f t="shared" ref="R550:U550" si="511">R540+SUM(R545:R549)</f>
        <v>1159</v>
      </c>
      <c r="S550" s="19">
        <f t="shared" si="511"/>
        <v>1159</v>
      </c>
      <c r="T550" s="19">
        <f t="shared" si="511"/>
        <v>1159</v>
      </c>
      <c r="U550" s="19">
        <f t="shared" si="511"/>
        <v>1159</v>
      </c>
      <c r="W550" s="19">
        <f t="shared" ref="W550" si="512">W540+SUM(W545:W549)</f>
        <v>1159</v>
      </c>
      <c r="X550" s="19">
        <f t="shared" ref="X550:AA550" si="513">X540+SUM(X545:X549)</f>
        <v>1159</v>
      </c>
      <c r="Y550" s="19">
        <f t="shared" si="513"/>
        <v>1159</v>
      </c>
      <c r="Z550" s="19">
        <f t="shared" si="513"/>
        <v>1159</v>
      </c>
      <c r="AA550" s="19">
        <f t="shared" si="513"/>
        <v>1159</v>
      </c>
    </row>
    <row r="551" spans="1:27" x14ac:dyDescent="0.25">
      <c r="A551" s="15"/>
      <c r="D551" s="15"/>
      <c r="E551" s="15"/>
      <c r="F551" s="15"/>
      <c r="G551" s="15"/>
      <c r="H551" s="15"/>
      <c r="I551" s="15"/>
      <c r="J551" s="15"/>
      <c r="K551" s="15"/>
      <c r="L551" s="15"/>
      <c r="M551" s="15"/>
      <c r="N551" s="15"/>
      <c r="O551" s="15"/>
      <c r="P551" s="15"/>
      <c r="R551" s="15"/>
      <c r="S551" s="15"/>
      <c r="T551" s="15"/>
      <c r="U551" s="15"/>
      <c r="W551" s="82"/>
      <c r="X551" s="15"/>
      <c r="Y551" s="15"/>
      <c r="Z551" s="15"/>
      <c r="AA551" s="15"/>
    </row>
    <row r="552" spans="1:27" x14ac:dyDescent="0.25">
      <c r="A552" s="26" t="s">
        <v>133</v>
      </c>
      <c r="D552" s="15"/>
      <c r="E552" s="15"/>
      <c r="F552" s="15"/>
      <c r="G552" s="15"/>
      <c r="H552" s="15"/>
      <c r="I552" s="15"/>
      <c r="J552" s="15"/>
      <c r="K552" s="15"/>
      <c r="L552" s="15"/>
      <c r="M552" s="15"/>
      <c r="N552" s="15"/>
      <c r="O552" s="15"/>
      <c r="P552" s="15"/>
      <c r="R552" s="15"/>
      <c r="S552" s="15"/>
      <c r="T552" s="15"/>
      <c r="U552" s="15"/>
      <c r="W552" s="82"/>
      <c r="X552" s="15"/>
      <c r="Y552" s="15"/>
      <c r="Z552" s="15"/>
      <c r="AA552" s="15"/>
    </row>
    <row r="553" spans="1:27" x14ac:dyDescent="0.25">
      <c r="A553" s="15" t="s">
        <v>183</v>
      </c>
      <c r="D553" s="20">
        <v>2321</v>
      </c>
      <c r="E553" s="20">
        <f>D563</f>
        <v>2293</v>
      </c>
      <c r="F553" s="20">
        <f>E563</f>
        <v>2222</v>
      </c>
      <c r="G553" s="20">
        <f>F563</f>
        <v>2161</v>
      </c>
      <c r="H553" s="20">
        <v>2133</v>
      </c>
      <c r="I553" s="20">
        <f t="shared" ref="I553:P553" si="514">H563</f>
        <v>2106</v>
      </c>
      <c r="J553" s="20">
        <f t="shared" si="514"/>
        <v>2056</v>
      </c>
      <c r="K553" s="20">
        <f t="shared" si="514"/>
        <v>2029</v>
      </c>
      <c r="L553" s="20">
        <f t="shared" si="514"/>
        <v>1990</v>
      </c>
      <c r="M553" s="20">
        <f t="shared" si="514"/>
        <v>1961</v>
      </c>
      <c r="N553" s="20">
        <f t="shared" si="514"/>
        <v>1930</v>
      </c>
      <c r="O553" s="20">
        <f t="shared" si="514"/>
        <v>1882</v>
      </c>
      <c r="P553" s="20">
        <f t="shared" si="514"/>
        <v>1846</v>
      </c>
      <c r="R553" s="20">
        <f>P563</f>
        <v>1803</v>
      </c>
      <c r="S553" s="20">
        <f>R563</f>
        <v>1803</v>
      </c>
      <c r="T553" s="20">
        <f t="shared" ref="T553:U553" si="515">S563</f>
        <v>1803</v>
      </c>
      <c r="U553" s="20">
        <f t="shared" si="515"/>
        <v>1803</v>
      </c>
      <c r="W553" s="246">
        <f>R553</f>
        <v>1803</v>
      </c>
      <c r="X553" s="20">
        <f>W563</f>
        <v>1803</v>
      </c>
      <c r="Y553" s="20">
        <f>X563</f>
        <v>1803</v>
      </c>
      <c r="Z553" s="20">
        <f t="shared" ref="Z553:AA553" si="516">Y563</f>
        <v>1803</v>
      </c>
      <c r="AA553" s="20">
        <f t="shared" si="516"/>
        <v>1803</v>
      </c>
    </row>
    <row r="554" spans="1:27" x14ac:dyDescent="0.25">
      <c r="A554" s="15" t="s">
        <v>184</v>
      </c>
      <c r="D554" s="20">
        <v>10</v>
      </c>
      <c r="E554" s="20">
        <f>20-D554</f>
        <v>10</v>
      </c>
      <c r="F554" s="20">
        <f>35-E554-D554</f>
        <v>15</v>
      </c>
      <c r="G554" s="20">
        <f>53-F554-E554-D554</f>
        <v>18</v>
      </c>
      <c r="H554" s="20">
        <v>18</v>
      </c>
      <c r="I554" s="20">
        <f>37-H554</f>
        <v>19</v>
      </c>
      <c r="J554" s="20">
        <f>45-I554-H554</f>
        <v>8</v>
      </c>
      <c r="K554" s="20">
        <f>51-J554-I554-H554</f>
        <v>6</v>
      </c>
      <c r="L554" s="20">
        <v>4</v>
      </c>
      <c r="M554" s="20">
        <v>1</v>
      </c>
      <c r="N554" s="20">
        <v>4</v>
      </c>
      <c r="O554" s="20">
        <f>12-SUM(L554:N554)</f>
        <v>3</v>
      </c>
      <c r="P554" s="20">
        <v>1</v>
      </c>
      <c r="R554" s="102">
        <v>0</v>
      </c>
      <c r="S554" s="102">
        <v>0</v>
      </c>
      <c r="T554" s="102">
        <v>0</v>
      </c>
      <c r="U554" s="102">
        <v>0</v>
      </c>
      <c r="W554" s="246">
        <f>SUM(R554:U554)</f>
        <v>0</v>
      </c>
      <c r="X554" s="102">
        <v>0</v>
      </c>
      <c r="Y554" s="102">
        <v>0</v>
      </c>
      <c r="Z554" s="102">
        <v>0</v>
      </c>
      <c r="AA554" s="102">
        <v>0</v>
      </c>
    </row>
    <row r="555" spans="1:27" x14ac:dyDescent="0.25">
      <c r="A555" s="15" t="s">
        <v>185</v>
      </c>
      <c r="D555" s="20">
        <v>0</v>
      </c>
      <c r="E555" s="20">
        <v>0</v>
      </c>
      <c r="F555" s="20">
        <v>0</v>
      </c>
      <c r="G555" s="20">
        <v>0</v>
      </c>
      <c r="H555" s="20">
        <v>0</v>
      </c>
      <c r="I555" s="20">
        <v>0</v>
      </c>
      <c r="J555" s="20">
        <v>0</v>
      </c>
      <c r="K555" s="20">
        <v>0</v>
      </c>
      <c r="L555" s="20">
        <v>0</v>
      </c>
      <c r="M555" s="20">
        <v>0</v>
      </c>
      <c r="N555" s="20">
        <v>0</v>
      </c>
      <c r="O555" s="20">
        <v>0</v>
      </c>
      <c r="P555" s="20">
        <v>0</v>
      </c>
      <c r="R555" s="102">
        <v>0</v>
      </c>
      <c r="S555" s="102">
        <v>0</v>
      </c>
      <c r="T555" s="102">
        <v>0</v>
      </c>
      <c r="U555" s="102">
        <v>0</v>
      </c>
      <c r="W555" s="246">
        <f t="shared" ref="W555:W557" si="517">SUM(R555:U555)</f>
        <v>0</v>
      </c>
      <c r="X555" s="102">
        <v>0</v>
      </c>
      <c r="Y555" s="102">
        <v>0</v>
      </c>
      <c r="Z555" s="102">
        <v>0</v>
      </c>
      <c r="AA555" s="102">
        <v>0</v>
      </c>
    </row>
    <row r="556" spans="1:27" x14ac:dyDescent="0.25">
      <c r="A556" s="15" t="s">
        <v>186</v>
      </c>
      <c r="D556" s="20">
        <v>5</v>
      </c>
      <c r="E556" s="20">
        <f>6-D556</f>
        <v>1</v>
      </c>
      <c r="F556" s="20">
        <f>6-E556-D556</f>
        <v>0</v>
      </c>
      <c r="G556" s="20">
        <f>6-F556-E556-D556</f>
        <v>0</v>
      </c>
      <c r="H556" s="20">
        <v>0</v>
      </c>
      <c r="I556" s="20">
        <v>0</v>
      </c>
      <c r="J556" s="20">
        <v>0</v>
      </c>
      <c r="K556" s="20">
        <v>0</v>
      </c>
      <c r="L556" s="20">
        <v>0</v>
      </c>
      <c r="M556" s="20">
        <v>1</v>
      </c>
      <c r="N556" s="20">
        <v>0</v>
      </c>
      <c r="O556" s="20">
        <v>0</v>
      </c>
      <c r="P556" s="20">
        <v>0</v>
      </c>
      <c r="R556" s="102">
        <v>0</v>
      </c>
      <c r="S556" s="102">
        <v>0</v>
      </c>
      <c r="T556" s="102">
        <v>0</v>
      </c>
      <c r="U556" s="102">
        <v>0</v>
      </c>
      <c r="W556" s="246">
        <f t="shared" si="517"/>
        <v>0</v>
      </c>
      <c r="X556" s="102">
        <v>0</v>
      </c>
      <c r="Y556" s="102">
        <v>0</v>
      </c>
      <c r="Z556" s="102">
        <v>0</v>
      </c>
      <c r="AA556" s="102">
        <v>0</v>
      </c>
    </row>
    <row r="557" spans="1:27" x14ac:dyDescent="0.25">
      <c r="A557" s="15" t="s">
        <v>187</v>
      </c>
      <c r="D557" s="22">
        <v>-2</v>
      </c>
      <c r="E557" s="22">
        <f>-7-D557</f>
        <v>-5</v>
      </c>
      <c r="F557" s="22">
        <f>-7-E557-D557</f>
        <v>0</v>
      </c>
      <c r="G557" s="22">
        <f>-10-F557-E557-D557</f>
        <v>-3</v>
      </c>
      <c r="H557" s="22">
        <v>-3</v>
      </c>
      <c r="I557" s="22">
        <f>-8-H557</f>
        <v>-5</v>
      </c>
      <c r="J557" s="22">
        <f>-10-I557-H557</f>
        <v>-2</v>
      </c>
      <c r="K557" s="22">
        <f>-12-J557-I557-H557</f>
        <v>-2</v>
      </c>
      <c r="L557" s="22">
        <v>-2</v>
      </c>
      <c r="M557" s="22">
        <v>-1</v>
      </c>
      <c r="N557" s="22">
        <v>-3</v>
      </c>
      <c r="O557" s="22">
        <f>-8-SUM(L557:N557)</f>
        <v>-2</v>
      </c>
      <c r="P557" s="22">
        <v>-1</v>
      </c>
      <c r="R557" s="103">
        <v>0</v>
      </c>
      <c r="S557" s="103">
        <v>0</v>
      </c>
      <c r="T557" s="103">
        <v>0</v>
      </c>
      <c r="U557" s="103">
        <v>0</v>
      </c>
      <c r="W557" s="247">
        <f t="shared" si="517"/>
        <v>0</v>
      </c>
      <c r="X557" s="103">
        <v>0</v>
      </c>
      <c r="Y557" s="103">
        <v>0</v>
      </c>
      <c r="Z557" s="103">
        <v>0</v>
      </c>
      <c r="AA557" s="103">
        <v>0</v>
      </c>
    </row>
    <row r="558" spans="1:27" x14ac:dyDescent="0.25">
      <c r="A558" s="9" t="s">
        <v>188</v>
      </c>
      <c r="D558" s="19">
        <f t="shared" ref="D558:P558" si="518">SUM(D554:D557)</f>
        <v>13</v>
      </c>
      <c r="E558" s="19">
        <f t="shared" si="518"/>
        <v>6</v>
      </c>
      <c r="F558" s="19">
        <f t="shared" si="518"/>
        <v>15</v>
      </c>
      <c r="G558" s="19">
        <f t="shared" si="518"/>
        <v>15</v>
      </c>
      <c r="H558" s="19">
        <f t="shared" si="518"/>
        <v>15</v>
      </c>
      <c r="I558" s="19">
        <f t="shared" si="518"/>
        <v>14</v>
      </c>
      <c r="J558" s="23">
        <f t="shared" si="518"/>
        <v>6</v>
      </c>
      <c r="K558" s="19">
        <f t="shared" si="518"/>
        <v>4</v>
      </c>
      <c r="L558" s="19">
        <f t="shared" si="518"/>
        <v>2</v>
      </c>
      <c r="M558" s="19">
        <f t="shared" si="518"/>
        <v>1</v>
      </c>
      <c r="N558" s="19">
        <f t="shared" si="518"/>
        <v>1</v>
      </c>
      <c r="O558" s="19">
        <f t="shared" si="518"/>
        <v>1</v>
      </c>
      <c r="P558" s="19">
        <f t="shared" si="518"/>
        <v>0</v>
      </c>
      <c r="R558" s="19">
        <f>SUM(R554:R557)</f>
        <v>0</v>
      </c>
      <c r="S558" s="19">
        <f t="shared" ref="S558" si="519">SUM(S554:S557)</f>
        <v>0</v>
      </c>
      <c r="T558" s="19">
        <f t="shared" ref="T558" si="520">SUM(T554:T557)</f>
        <v>0</v>
      </c>
      <c r="U558" s="19">
        <f t="shared" ref="U558" si="521">SUM(U554:U557)</f>
        <v>0</v>
      </c>
      <c r="W558" s="19">
        <f>SUM(W554:W557)</f>
        <v>0</v>
      </c>
      <c r="X558" s="19">
        <f>SUM(X554:X557)</f>
        <v>0</v>
      </c>
      <c r="Y558" s="19">
        <f t="shared" ref="Y558" si="522">SUM(Y554:Y557)</f>
        <v>0</v>
      </c>
      <c r="Z558" s="19">
        <f t="shared" ref="Z558" si="523">SUM(Z554:Z557)</f>
        <v>0</v>
      </c>
      <c r="AA558" s="19">
        <f t="shared" ref="AA558" si="524">SUM(AA554:AA557)</f>
        <v>0</v>
      </c>
    </row>
    <row r="559" spans="1:27" x14ac:dyDescent="0.25">
      <c r="A559" s="9"/>
      <c r="D559" s="19"/>
      <c r="E559" s="19"/>
      <c r="F559" s="19"/>
      <c r="G559" s="19"/>
      <c r="H559" s="19"/>
      <c r="I559" s="19"/>
      <c r="J559" s="23"/>
      <c r="K559" s="19"/>
      <c r="L559" s="19"/>
      <c r="M559" s="19"/>
      <c r="N559" s="19"/>
      <c r="O559" s="19"/>
      <c r="P559" s="19"/>
      <c r="R559" s="19"/>
      <c r="S559" s="19"/>
      <c r="T559" s="19"/>
      <c r="U559" s="19"/>
      <c r="W559" s="82"/>
      <c r="X559" s="19"/>
      <c r="Y559" s="19"/>
      <c r="Z559" s="19"/>
      <c r="AA559" s="19"/>
    </row>
    <row r="560" spans="1:27" x14ac:dyDescent="0.25">
      <c r="A560" s="15" t="s">
        <v>189</v>
      </c>
      <c r="D560" s="20">
        <v>-20</v>
      </c>
      <c r="E560" s="20">
        <f>-56-D560</f>
        <v>-36</v>
      </c>
      <c r="F560" s="20">
        <f>-56-E560-D560</f>
        <v>0</v>
      </c>
      <c r="G560" s="20">
        <f>-56-F560-E560-D560</f>
        <v>0</v>
      </c>
      <c r="H560" s="20">
        <v>0</v>
      </c>
      <c r="I560" s="20">
        <v>0</v>
      </c>
      <c r="J560" s="20">
        <v>0</v>
      </c>
      <c r="K560" s="20">
        <v>0</v>
      </c>
      <c r="L560" s="20">
        <v>0</v>
      </c>
      <c r="M560" s="20">
        <v>0</v>
      </c>
      <c r="N560" s="20">
        <v>-2</v>
      </c>
      <c r="O560" s="20">
        <f>-17-SUM(L560:N560)</f>
        <v>-15</v>
      </c>
      <c r="P560" s="20">
        <v>0</v>
      </c>
      <c r="R560" s="102">
        <v>0</v>
      </c>
      <c r="S560" s="102">
        <v>0</v>
      </c>
      <c r="T560" s="102">
        <v>0</v>
      </c>
      <c r="U560" s="102">
        <v>0</v>
      </c>
      <c r="W560" s="246">
        <f>SUM(R560:U560)</f>
        <v>0</v>
      </c>
      <c r="X560" s="102">
        <v>0</v>
      </c>
      <c r="Y560" s="102">
        <v>0</v>
      </c>
      <c r="Z560" s="102">
        <v>0</v>
      </c>
      <c r="AA560" s="102">
        <v>0</v>
      </c>
    </row>
    <row r="561" spans="1:27" x14ac:dyDescent="0.25">
      <c r="A561" s="15" t="s">
        <v>190</v>
      </c>
      <c r="D561" s="20">
        <v>0</v>
      </c>
      <c r="E561" s="20">
        <f>-5-D561</f>
        <v>-5</v>
      </c>
      <c r="F561" s="20">
        <f>-7-E561-D561</f>
        <v>-2</v>
      </c>
      <c r="G561" s="20">
        <f>-7-F561-E561-D561</f>
        <v>0</v>
      </c>
      <c r="H561" s="20">
        <v>-1</v>
      </c>
      <c r="I561" s="20">
        <f>-1-H561</f>
        <v>0</v>
      </c>
      <c r="J561" s="20">
        <f>-1-I561-H561</f>
        <v>0</v>
      </c>
      <c r="K561" s="20">
        <f>-3-J561-I561-H561</f>
        <v>-2</v>
      </c>
      <c r="L561" s="20">
        <v>-2</v>
      </c>
      <c r="M561" s="20">
        <v>-1</v>
      </c>
      <c r="N561" s="20">
        <v>-3</v>
      </c>
      <c r="O561" s="20">
        <f>-6-SUM(L561:N561)</f>
        <v>0</v>
      </c>
      <c r="P561" s="20">
        <v>-1</v>
      </c>
      <c r="R561" s="102">
        <v>0</v>
      </c>
      <c r="S561" s="102">
        <v>0</v>
      </c>
      <c r="T561" s="102">
        <v>0</v>
      </c>
      <c r="U561" s="102">
        <v>0</v>
      </c>
      <c r="W561" s="246">
        <f t="shared" ref="W561:W562" si="525">SUM(R561:U561)</f>
        <v>0</v>
      </c>
      <c r="X561" s="102">
        <v>0</v>
      </c>
      <c r="Y561" s="102">
        <v>0</v>
      </c>
      <c r="Z561" s="102">
        <v>0</v>
      </c>
      <c r="AA561" s="102">
        <v>0</v>
      </c>
    </row>
    <row r="562" spans="1:27" x14ac:dyDescent="0.25">
      <c r="A562" s="15" t="s">
        <v>191</v>
      </c>
      <c r="D562" s="22">
        <v>-21</v>
      </c>
      <c r="E562" s="22">
        <f>-57-D562</f>
        <v>-36</v>
      </c>
      <c r="F562" s="22">
        <f>-131-E562-D562</f>
        <v>-74</v>
      </c>
      <c r="G562" s="22">
        <f>-174-F562-E562-D562</f>
        <v>-43</v>
      </c>
      <c r="H562" s="22">
        <v>-41</v>
      </c>
      <c r="I562" s="22">
        <f>-105-H562</f>
        <v>-64</v>
      </c>
      <c r="J562" s="22">
        <f>-138-I562-H562</f>
        <v>-33</v>
      </c>
      <c r="K562" s="22">
        <f>-179-J562-I562-H562</f>
        <v>-41</v>
      </c>
      <c r="L562" s="22">
        <v>-29</v>
      </c>
      <c r="M562" s="22">
        <v>-31</v>
      </c>
      <c r="N562" s="22">
        <v>-44</v>
      </c>
      <c r="O562" s="22">
        <f>-126-SUM(L562:N562)</f>
        <v>-22</v>
      </c>
      <c r="P562" s="22">
        <v>-42</v>
      </c>
      <c r="R562" s="103">
        <v>0</v>
      </c>
      <c r="S562" s="103">
        <v>0</v>
      </c>
      <c r="T562" s="103">
        <v>0</v>
      </c>
      <c r="U562" s="103">
        <v>0</v>
      </c>
      <c r="W562" s="247">
        <f t="shared" si="525"/>
        <v>0</v>
      </c>
      <c r="X562" s="103">
        <v>0</v>
      </c>
      <c r="Y562" s="103">
        <v>0</v>
      </c>
      <c r="Z562" s="103">
        <v>0</v>
      </c>
      <c r="AA562" s="103">
        <v>0</v>
      </c>
    </row>
    <row r="563" spans="1:27" x14ac:dyDescent="0.25">
      <c r="A563" s="9" t="s">
        <v>197</v>
      </c>
      <c r="D563" s="19">
        <f t="shared" ref="D563:P563" si="526">D553+SUM(D558:D562)</f>
        <v>2293</v>
      </c>
      <c r="E563" s="19">
        <f t="shared" si="526"/>
        <v>2222</v>
      </c>
      <c r="F563" s="19">
        <f t="shared" si="526"/>
        <v>2161</v>
      </c>
      <c r="G563" s="19">
        <f t="shared" si="526"/>
        <v>2133</v>
      </c>
      <c r="H563" s="19">
        <f t="shared" si="526"/>
        <v>2106</v>
      </c>
      <c r="I563" s="19">
        <f t="shared" si="526"/>
        <v>2056</v>
      </c>
      <c r="J563" s="23">
        <f t="shared" si="526"/>
        <v>2029</v>
      </c>
      <c r="K563" s="19">
        <f t="shared" si="526"/>
        <v>1990</v>
      </c>
      <c r="L563" s="19">
        <f t="shared" si="526"/>
        <v>1961</v>
      </c>
      <c r="M563" s="19">
        <f t="shared" si="526"/>
        <v>1930</v>
      </c>
      <c r="N563" s="19">
        <f t="shared" si="526"/>
        <v>1882</v>
      </c>
      <c r="O563" s="19">
        <f t="shared" si="526"/>
        <v>1846</v>
      </c>
      <c r="P563" s="19">
        <f t="shared" si="526"/>
        <v>1803</v>
      </c>
      <c r="R563" s="19">
        <f t="shared" ref="R563:U563" si="527">R553+SUM(R558:R562)</f>
        <v>1803</v>
      </c>
      <c r="S563" s="19">
        <f t="shared" si="527"/>
        <v>1803</v>
      </c>
      <c r="T563" s="19">
        <f t="shared" si="527"/>
        <v>1803</v>
      </c>
      <c r="U563" s="19">
        <f t="shared" si="527"/>
        <v>1803</v>
      </c>
      <c r="W563" s="19">
        <f t="shared" ref="W563" si="528">W553+SUM(W558:W562)</f>
        <v>1803</v>
      </c>
      <c r="X563" s="19">
        <f t="shared" ref="X563:AA563" si="529">X553+SUM(X558:X562)</f>
        <v>1803</v>
      </c>
      <c r="Y563" s="19">
        <f t="shared" si="529"/>
        <v>1803</v>
      </c>
      <c r="Z563" s="19">
        <f t="shared" si="529"/>
        <v>1803</v>
      </c>
      <c r="AA563" s="19">
        <f t="shared" si="529"/>
        <v>1803</v>
      </c>
    </row>
    <row r="564" spans="1:27" x14ac:dyDescent="0.25">
      <c r="A564" s="15"/>
      <c r="D564" s="15"/>
      <c r="E564" s="15"/>
      <c r="F564" s="15"/>
      <c r="G564" s="15"/>
      <c r="H564" s="15"/>
      <c r="I564" s="15"/>
      <c r="J564" s="15"/>
      <c r="K564" s="15"/>
      <c r="L564" s="15"/>
      <c r="M564" s="15"/>
      <c r="N564" s="15"/>
      <c r="O564" s="15"/>
      <c r="P564" s="15"/>
      <c r="R564" s="15"/>
      <c r="S564" s="15"/>
      <c r="T564" s="15"/>
      <c r="U564" s="15"/>
      <c r="W564" s="82"/>
      <c r="X564" s="15"/>
      <c r="Y564" s="15"/>
      <c r="Z564" s="15"/>
      <c r="AA564" s="15"/>
    </row>
    <row r="565" spans="1:27" x14ac:dyDescent="0.25">
      <c r="A565" s="27" t="s">
        <v>8683</v>
      </c>
      <c r="D565" s="15"/>
      <c r="E565" s="15"/>
      <c r="F565" s="15"/>
      <c r="G565" s="15"/>
      <c r="H565" s="15"/>
      <c r="I565" s="15"/>
      <c r="J565" s="15"/>
      <c r="K565" s="15"/>
      <c r="L565" s="15"/>
      <c r="M565" s="15"/>
      <c r="N565" s="15"/>
      <c r="O565" s="15"/>
      <c r="P565" s="15"/>
      <c r="R565" s="15"/>
      <c r="S565" s="15"/>
      <c r="T565" s="15"/>
      <c r="U565" s="15"/>
      <c r="W565" s="82"/>
      <c r="X565" s="15"/>
      <c r="Y565" s="15"/>
      <c r="Z565" s="15"/>
      <c r="AA565" s="15"/>
    </row>
    <row r="566" spans="1:27" x14ac:dyDescent="0.25">
      <c r="A566" s="15" t="s">
        <v>183</v>
      </c>
      <c r="D566" s="20">
        <f t="shared" ref="D566:O570" si="530">D501+D514+D527+D540+D553</f>
        <v>7483</v>
      </c>
      <c r="E566" s="20">
        <f t="shared" si="530"/>
        <v>7487</v>
      </c>
      <c r="F566" s="20">
        <f t="shared" si="530"/>
        <v>7446</v>
      </c>
      <c r="G566" s="20">
        <f t="shared" si="530"/>
        <v>7365</v>
      </c>
      <c r="H566" s="20">
        <f t="shared" si="530"/>
        <v>7324</v>
      </c>
      <c r="I566" s="20">
        <f t="shared" si="530"/>
        <v>7288</v>
      </c>
      <c r="J566" s="20">
        <f t="shared" si="530"/>
        <v>7220</v>
      </c>
      <c r="K566" s="20">
        <f t="shared" si="530"/>
        <v>7162</v>
      </c>
      <c r="L566" s="20">
        <f t="shared" si="530"/>
        <v>7084</v>
      </c>
      <c r="M566" s="20">
        <f t="shared" si="530"/>
        <v>7051</v>
      </c>
      <c r="N566" s="20">
        <f t="shared" si="530"/>
        <v>7023</v>
      </c>
      <c r="O566" s="20">
        <f t="shared" si="530"/>
        <v>6959</v>
      </c>
      <c r="P566" s="20">
        <f t="shared" ref="P566" si="531">P501+P514+P527+P540+P553</f>
        <v>6917</v>
      </c>
      <c r="R566" s="20">
        <f>P576</f>
        <v>6856</v>
      </c>
      <c r="S566" s="20">
        <f>R576</f>
        <v>6856</v>
      </c>
      <c r="T566" s="20">
        <f t="shared" ref="T566:U566" si="532">S576</f>
        <v>6856</v>
      </c>
      <c r="U566" s="20">
        <f t="shared" si="532"/>
        <v>6856</v>
      </c>
      <c r="W566" s="246">
        <f>R566</f>
        <v>6856</v>
      </c>
      <c r="X566" s="20">
        <f>W576</f>
        <v>6856</v>
      </c>
      <c r="Y566" s="20">
        <f>X576</f>
        <v>6856</v>
      </c>
      <c r="Z566" s="20">
        <f t="shared" ref="Z566:AA566" si="533">Y576</f>
        <v>6856</v>
      </c>
      <c r="AA566" s="20">
        <f t="shared" si="533"/>
        <v>6856</v>
      </c>
    </row>
    <row r="567" spans="1:27" x14ac:dyDescent="0.25">
      <c r="A567" s="15" t="s">
        <v>184</v>
      </c>
      <c r="D567" s="20">
        <f t="shared" si="530"/>
        <v>45</v>
      </c>
      <c r="E567" s="20">
        <f t="shared" si="530"/>
        <v>43</v>
      </c>
      <c r="F567" s="20">
        <f t="shared" si="530"/>
        <v>43</v>
      </c>
      <c r="G567" s="20">
        <f t="shared" si="530"/>
        <v>60</v>
      </c>
      <c r="H567" s="20">
        <f t="shared" si="530"/>
        <v>51</v>
      </c>
      <c r="I567" s="20">
        <f t="shared" si="530"/>
        <v>59</v>
      </c>
      <c r="J567" s="20">
        <f t="shared" si="530"/>
        <v>38</v>
      </c>
      <c r="K567" s="20">
        <f t="shared" si="530"/>
        <v>24</v>
      </c>
      <c r="L567" s="20">
        <f t="shared" ref="L567:N567" si="534">L502+L515+L528+L541+L554</f>
        <v>27</v>
      </c>
      <c r="M567" s="20">
        <f t="shared" si="534"/>
        <v>36</v>
      </c>
      <c r="N567" s="20">
        <f t="shared" si="534"/>
        <v>33</v>
      </c>
      <c r="O567" s="20">
        <f t="shared" ref="O567:P567" si="535">O502+O515+O528+O541+O554</f>
        <v>28</v>
      </c>
      <c r="P567" s="20">
        <f t="shared" si="535"/>
        <v>24</v>
      </c>
      <c r="R567" s="102">
        <v>0</v>
      </c>
      <c r="S567" s="102">
        <v>0</v>
      </c>
      <c r="T567" s="102">
        <v>0</v>
      </c>
      <c r="U567" s="102">
        <v>0</v>
      </c>
      <c r="W567" s="246">
        <f>SUM(R567:U567)</f>
        <v>0</v>
      </c>
      <c r="X567" s="102">
        <v>0</v>
      </c>
      <c r="Y567" s="102">
        <v>0</v>
      </c>
      <c r="Z567" s="102">
        <v>0</v>
      </c>
      <c r="AA567" s="102">
        <v>0</v>
      </c>
    </row>
    <row r="568" spans="1:27" x14ac:dyDescent="0.25">
      <c r="A568" s="15" t="s">
        <v>185</v>
      </c>
      <c r="D568" s="20">
        <f t="shared" si="530"/>
        <v>1</v>
      </c>
      <c r="E568" s="20">
        <f t="shared" si="530"/>
        <v>0</v>
      </c>
      <c r="F568" s="20">
        <f t="shared" si="530"/>
        <v>0</v>
      </c>
      <c r="G568" s="20">
        <f t="shared" si="530"/>
        <v>0</v>
      </c>
      <c r="H568" s="20">
        <f t="shared" si="530"/>
        <v>0</v>
      </c>
      <c r="I568" s="20">
        <f t="shared" si="530"/>
        <v>0</v>
      </c>
      <c r="J568" s="20">
        <f t="shared" si="530"/>
        <v>0</v>
      </c>
      <c r="K568" s="20">
        <f t="shared" si="530"/>
        <v>0</v>
      </c>
      <c r="L568" s="20">
        <f t="shared" ref="L568:N568" si="536">L503+L516+L529+L542+L555</f>
        <v>0</v>
      </c>
      <c r="M568" s="20">
        <f t="shared" si="536"/>
        <v>0</v>
      </c>
      <c r="N568" s="20">
        <f t="shared" si="536"/>
        <v>0</v>
      </c>
      <c r="O568" s="20">
        <f t="shared" ref="O568:P568" si="537">O503+O516+O529+O542+O555</f>
        <v>0</v>
      </c>
      <c r="P568" s="20">
        <f t="shared" si="537"/>
        <v>0</v>
      </c>
      <c r="R568" s="102">
        <v>0</v>
      </c>
      <c r="S568" s="102">
        <v>0</v>
      </c>
      <c r="T568" s="102">
        <v>0</v>
      </c>
      <c r="U568" s="102">
        <v>0</v>
      </c>
      <c r="W568" s="246">
        <f t="shared" ref="W568:W570" si="538">SUM(R568:U568)</f>
        <v>0</v>
      </c>
      <c r="X568" s="102">
        <v>0</v>
      </c>
      <c r="Y568" s="102">
        <v>0</v>
      </c>
      <c r="Z568" s="102">
        <v>0</v>
      </c>
      <c r="AA568" s="102">
        <v>0</v>
      </c>
    </row>
    <row r="569" spans="1:27" x14ac:dyDescent="0.25">
      <c r="A569" s="15" t="s">
        <v>186</v>
      </c>
      <c r="D569" s="20">
        <f t="shared" si="530"/>
        <v>5</v>
      </c>
      <c r="E569" s="20">
        <f t="shared" si="530"/>
        <v>3</v>
      </c>
      <c r="F569" s="20">
        <f t="shared" si="530"/>
        <v>0</v>
      </c>
      <c r="G569" s="20">
        <f t="shared" si="530"/>
        <v>3</v>
      </c>
      <c r="H569" s="21">
        <f t="shared" si="530"/>
        <v>0</v>
      </c>
      <c r="I569" s="21">
        <f t="shared" si="530"/>
        <v>1</v>
      </c>
      <c r="J569" s="21">
        <f t="shared" si="530"/>
        <v>0</v>
      </c>
      <c r="K569" s="21">
        <f t="shared" si="530"/>
        <v>-1</v>
      </c>
      <c r="L569" s="21">
        <f t="shared" ref="L569:N569" si="539">L504+L517+L530+L543+L556</f>
        <v>1</v>
      </c>
      <c r="M569" s="21">
        <f t="shared" si="539"/>
        <v>1</v>
      </c>
      <c r="N569" s="21">
        <f t="shared" si="539"/>
        <v>0</v>
      </c>
      <c r="O569" s="21">
        <f t="shared" ref="O569:P569" si="540">O504+O517+O530+O543+O556</f>
        <v>0</v>
      </c>
      <c r="P569" s="21">
        <f t="shared" si="540"/>
        <v>0</v>
      </c>
      <c r="R569" s="102">
        <v>0</v>
      </c>
      <c r="S569" s="102">
        <v>0</v>
      </c>
      <c r="T569" s="102">
        <v>0</v>
      </c>
      <c r="U569" s="102">
        <v>0</v>
      </c>
      <c r="W569" s="246">
        <f t="shared" si="538"/>
        <v>0</v>
      </c>
      <c r="X569" s="102">
        <v>0</v>
      </c>
      <c r="Y569" s="102">
        <v>0</v>
      </c>
      <c r="Z569" s="102">
        <v>0</v>
      </c>
      <c r="AA569" s="102">
        <v>0</v>
      </c>
    </row>
    <row r="570" spans="1:27" x14ac:dyDescent="0.25">
      <c r="A570" s="15" t="s">
        <v>187</v>
      </c>
      <c r="D570" s="22">
        <f t="shared" si="530"/>
        <v>-9</v>
      </c>
      <c r="E570" s="22">
        <f t="shared" si="530"/>
        <v>-12</v>
      </c>
      <c r="F570" s="22">
        <f t="shared" si="530"/>
        <v>-4</v>
      </c>
      <c r="G570" s="22">
        <f t="shared" si="530"/>
        <v>-13</v>
      </c>
      <c r="H570" s="22">
        <f t="shared" si="530"/>
        <v>-8</v>
      </c>
      <c r="I570" s="22">
        <f t="shared" si="530"/>
        <v>-10</v>
      </c>
      <c r="J570" s="22">
        <f t="shared" si="530"/>
        <v>-6</v>
      </c>
      <c r="K570" s="22">
        <f t="shared" si="530"/>
        <v>-7</v>
      </c>
      <c r="L570" s="22">
        <f t="shared" ref="L570:N570" si="541">L505+L518+L531+L544+L557</f>
        <v>-2</v>
      </c>
      <c r="M570" s="22">
        <f t="shared" si="541"/>
        <v>-6</v>
      </c>
      <c r="N570" s="22">
        <f t="shared" si="541"/>
        <v>-6</v>
      </c>
      <c r="O570" s="22">
        <f t="shared" ref="O570:P570" si="542">O505+O518+O531+O544+O557</f>
        <v>-6</v>
      </c>
      <c r="P570" s="22">
        <f t="shared" si="542"/>
        <v>-5</v>
      </c>
      <c r="R570" s="103">
        <v>0</v>
      </c>
      <c r="S570" s="103">
        <v>0</v>
      </c>
      <c r="T570" s="103">
        <v>0</v>
      </c>
      <c r="U570" s="103">
        <v>0</v>
      </c>
      <c r="W570" s="247">
        <f t="shared" si="538"/>
        <v>0</v>
      </c>
      <c r="X570" s="103">
        <v>0</v>
      </c>
      <c r="Y570" s="103">
        <v>0</v>
      </c>
      <c r="Z570" s="103">
        <v>0</v>
      </c>
      <c r="AA570" s="103">
        <v>0</v>
      </c>
    </row>
    <row r="571" spans="1:27" x14ac:dyDescent="0.25">
      <c r="A571" s="16" t="s">
        <v>188</v>
      </c>
      <c r="D571" s="19">
        <f t="shared" ref="D571:P571" si="543">SUM(D567:D570)</f>
        <v>42</v>
      </c>
      <c r="E571" s="19">
        <f t="shared" si="543"/>
        <v>34</v>
      </c>
      <c r="F571" s="19">
        <f t="shared" si="543"/>
        <v>39</v>
      </c>
      <c r="G571" s="19">
        <f t="shared" si="543"/>
        <v>50</v>
      </c>
      <c r="H571" s="19">
        <f t="shared" si="543"/>
        <v>43</v>
      </c>
      <c r="I571" s="19">
        <f t="shared" si="543"/>
        <v>50</v>
      </c>
      <c r="J571" s="23">
        <f t="shared" si="543"/>
        <v>32</v>
      </c>
      <c r="K571" s="19">
        <f t="shared" si="543"/>
        <v>16</v>
      </c>
      <c r="L571" s="19">
        <f t="shared" si="543"/>
        <v>26</v>
      </c>
      <c r="M571" s="19">
        <f t="shared" si="543"/>
        <v>31</v>
      </c>
      <c r="N571" s="19">
        <f t="shared" si="543"/>
        <v>27</v>
      </c>
      <c r="O571" s="19">
        <f t="shared" si="543"/>
        <v>22</v>
      </c>
      <c r="P571" s="19">
        <f t="shared" si="543"/>
        <v>19</v>
      </c>
      <c r="R571" s="19">
        <f>SUM(R567:R570)</f>
        <v>0</v>
      </c>
      <c r="S571" s="19">
        <f t="shared" ref="S571" si="544">SUM(S567:S570)</f>
        <v>0</v>
      </c>
      <c r="T571" s="19">
        <f t="shared" ref="T571" si="545">SUM(T567:T570)</f>
        <v>0</v>
      </c>
      <c r="U571" s="19">
        <f t="shared" ref="U571" si="546">SUM(U567:U570)</f>
        <v>0</v>
      </c>
      <c r="W571" s="19">
        <f>SUM(W567:W570)</f>
        <v>0</v>
      </c>
      <c r="X571" s="19">
        <f>SUM(X567:X570)</f>
        <v>0</v>
      </c>
      <c r="Y571" s="19">
        <f t="shared" ref="Y571" si="547">SUM(Y567:Y570)</f>
        <v>0</v>
      </c>
      <c r="Z571" s="19">
        <f t="shared" ref="Z571" si="548">SUM(Z567:Z570)</f>
        <v>0</v>
      </c>
      <c r="AA571" s="19">
        <f t="shared" ref="AA571" si="549">SUM(AA567:AA570)</f>
        <v>0</v>
      </c>
    </row>
    <row r="572" spans="1:27" x14ac:dyDescent="0.25">
      <c r="A572" s="17"/>
      <c r="D572" s="23"/>
      <c r="E572" s="23"/>
      <c r="F572" s="23"/>
      <c r="G572" s="23"/>
      <c r="H572" s="23"/>
      <c r="I572" s="23"/>
      <c r="J572" s="23"/>
      <c r="K572" s="23"/>
      <c r="L572" s="23"/>
      <c r="M572" s="23"/>
      <c r="N572" s="23"/>
      <c r="O572" s="23"/>
      <c r="P572" s="23"/>
      <c r="R572" s="19"/>
      <c r="S572" s="19"/>
      <c r="T572" s="19"/>
      <c r="U572" s="19"/>
      <c r="W572" s="82"/>
      <c r="X572" s="19"/>
      <c r="Y572" s="19"/>
      <c r="Z572" s="19"/>
      <c r="AA572" s="19"/>
    </row>
    <row r="573" spans="1:27" x14ac:dyDescent="0.25">
      <c r="A573" s="15" t="s">
        <v>189</v>
      </c>
      <c r="D573" s="20">
        <f t="shared" ref="D573:K575" si="550">D508+D521+D534+D547+D560</f>
        <v>-1</v>
      </c>
      <c r="E573" s="20">
        <f t="shared" si="550"/>
        <v>1</v>
      </c>
      <c r="F573" s="20">
        <f t="shared" si="550"/>
        <v>0</v>
      </c>
      <c r="G573" s="20">
        <f t="shared" si="550"/>
        <v>0</v>
      </c>
      <c r="H573" s="20">
        <f t="shared" si="550"/>
        <v>0</v>
      </c>
      <c r="I573" s="20">
        <f t="shared" si="550"/>
        <v>0</v>
      </c>
      <c r="J573" s="20">
        <f t="shared" si="550"/>
        <v>0</v>
      </c>
      <c r="K573" s="20">
        <f t="shared" si="550"/>
        <v>0</v>
      </c>
      <c r="L573" s="20">
        <f t="shared" ref="L573:N573" si="551">L508+L521+L534+L547+L560</f>
        <v>0</v>
      </c>
      <c r="M573" s="20">
        <f t="shared" si="551"/>
        <v>0</v>
      </c>
      <c r="N573" s="20">
        <f t="shared" si="551"/>
        <v>0</v>
      </c>
      <c r="O573" s="20">
        <f t="shared" ref="O573:P573" si="552">O508+O521+O534+O547+O560</f>
        <v>0</v>
      </c>
      <c r="P573" s="20">
        <f t="shared" si="552"/>
        <v>0</v>
      </c>
      <c r="R573" s="102">
        <v>0</v>
      </c>
      <c r="S573" s="102">
        <v>0</v>
      </c>
      <c r="T573" s="102">
        <v>0</v>
      </c>
      <c r="U573" s="102">
        <v>0</v>
      </c>
      <c r="W573" s="246">
        <f>SUM(R573:U573)</f>
        <v>0</v>
      </c>
      <c r="X573" s="102">
        <v>0</v>
      </c>
      <c r="Y573" s="102">
        <v>0</v>
      </c>
      <c r="Z573" s="102">
        <v>0</v>
      </c>
      <c r="AA573" s="102">
        <v>0</v>
      </c>
    </row>
    <row r="574" spans="1:27" x14ac:dyDescent="0.25">
      <c r="A574" s="15" t="s">
        <v>190</v>
      </c>
      <c r="D574" s="20">
        <f t="shared" si="550"/>
        <v>0</v>
      </c>
      <c r="E574" s="20">
        <f t="shared" si="550"/>
        <v>-5</v>
      </c>
      <c r="F574" s="20">
        <f t="shared" si="550"/>
        <v>-2</v>
      </c>
      <c r="G574" s="20">
        <f t="shared" si="550"/>
        <v>0</v>
      </c>
      <c r="H574" s="20">
        <f t="shared" si="550"/>
        <v>-3</v>
      </c>
      <c r="I574" s="20">
        <f t="shared" si="550"/>
        <v>-4</v>
      </c>
      <c r="J574" s="20">
        <f t="shared" si="550"/>
        <v>-2</v>
      </c>
      <c r="K574" s="20">
        <f t="shared" si="550"/>
        <v>-8</v>
      </c>
      <c r="L574" s="20">
        <f t="shared" ref="L574:N574" si="553">L509+L522+L535+L548+L561</f>
        <v>-6</v>
      </c>
      <c r="M574" s="20">
        <f t="shared" si="553"/>
        <v>-3</v>
      </c>
      <c r="N574" s="20">
        <f t="shared" si="553"/>
        <v>-6</v>
      </c>
      <c r="O574" s="20">
        <f t="shared" ref="O574:P574" si="554">O509+O522+O535+O548+O561</f>
        <v>-13</v>
      </c>
      <c r="P574" s="20">
        <f t="shared" si="554"/>
        <v>-10</v>
      </c>
      <c r="R574" s="102">
        <v>0</v>
      </c>
      <c r="S574" s="102">
        <v>0</v>
      </c>
      <c r="T574" s="102">
        <v>0</v>
      </c>
      <c r="U574" s="102">
        <v>0</v>
      </c>
      <c r="W574" s="246">
        <f t="shared" ref="W574:W575" si="555">SUM(R574:U574)</f>
        <v>0</v>
      </c>
      <c r="X574" s="102">
        <v>0</v>
      </c>
      <c r="Y574" s="102">
        <v>0</v>
      </c>
      <c r="Z574" s="102">
        <v>0</v>
      </c>
      <c r="AA574" s="102">
        <v>0</v>
      </c>
    </row>
    <row r="575" spans="1:27" x14ac:dyDescent="0.25">
      <c r="A575" s="15" t="s">
        <v>191</v>
      </c>
      <c r="D575" s="22">
        <f t="shared" si="550"/>
        <v>-37</v>
      </c>
      <c r="E575" s="22">
        <f t="shared" si="550"/>
        <v>-71</v>
      </c>
      <c r="F575" s="22">
        <f t="shared" si="550"/>
        <v>-118</v>
      </c>
      <c r="G575" s="22">
        <f t="shared" si="550"/>
        <v>-91</v>
      </c>
      <c r="H575" s="22">
        <f t="shared" si="550"/>
        <v>-76</v>
      </c>
      <c r="I575" s="22">
        <f t="shared" si="550"/>
        <v>-114</v>
      </c>
      <c r="J575" s="22">
        <f t="shared" si="550"/>
        <v>-88</v>
      </c>
      <c r="K575" s="22">
        <f t="shared" si="550"/>
        <v>-86</v>
      </c>
      <c r="L575" s="22">
        <f t="shared" ref="L575:N575" si="556">L510+L523+L536+L549+L562</f>
        <v>-53</v>
      </c>
      <c r="M575" s="22">
        <f t="shared" si="556"/>
        <v>-56</v>
      </c>
      <c r="N575" s="22">
        <f t="shared" si="556"/>
        <v>-85</v>
      </c>
      <c r="O575" s="22">
        <f t="shared" ref="O575:P575" si="557">O510+O523+O536+O549+O562</f>
        <v>-51</v>
      </c>
      <c r="P575" s="22">
        <f t="shared" si="557"/>
        <v>-70</v>
      </c>
      <c r="R575" s="103">
        <v>0</v>
      </c>
      <c r="S575" s="103">
        <v>0</v>
      </c>
      <c r="T575" s="103">
        <v>0</v>
      </c>
      <c r="U575" s="103">
        <v>0</v>
      </c>
      <c r="W575" s="247">
        <f t="shared" si="555"/>
        <v>0</v>
      </c>
      <c r="X575" s="103">
        <v>0</v>
      </c>
      <c r="Y575" s="103">
        <v>0</v>
      </c>
      <c r="Z575" s="103">
        <v>0</v>
      </c>
      <c r="AA575" s="103">
        <v>0</v>
      </c>
    </row>
    <row r="576" spans="1:27" x14ac:dyDescent="0.25">
      <c r="A576" s="17" t="s">
        <v>8683</v>
      </c>
      <c r="D576" s="19">
        <f t="shared" ref="D576:P576" si="558">D566+SUM(D571:D575)</f>
        <v>7487</v>
      </c>
      <c r="E576" s="19">
        <f t="shared" si="558"/>
        <v>7446</v>
      </c>
      <c r="F576" s="19">
        <f t="shared" si="558"/>
        <v>7365</v>
      </c>
      <c r="G576" s="19">
        <f t="shared" si="558"/>
        <v>7324</v>
      </c>
      <c r="H576" s="19">
        <f t="shared" si="558"/>
        <v>7288</v>
      </c>
      <c r="I576" s="19">
        <f t="shared" si="558"/>
        <v>7220</v>
      </c>
      <c r="J576" s="23">
        <f t="shared" si="558"/>
        <v>7162</v>
      </c>
      <c r="K576" s="19">
        <f t="shared" si="558"/>
        <v>7084</v>
      </c>
      <c r="L576" s="19">
        <f t="shared" si="558"/>
        <v>7051</v>
      </c>
      <c r="M576" s="19">
        <f t="shared" si="558"/>
        <v>7023</v>
      </c>
      <c r="N576" s="19">
        <f t="shared" si="558"/>
        <v>6959</v>
      </c>
      <c r="O576" s="19">
        <f t="shared" si="558"/>
        <v>6917</v>
      </c>
      <c r="P576" s="19">
        <f t="shared" si="558"/>
        <v>6856</v>
      </c>
      <c r="R576" s="19">
        <f t="shared" ref="R576:U576" si="559">R566+SUM(R571:R575)</f>
        <v>6856</v>
      </c>
      <c r="S576" s="19">
        <f t="shared" si="559"/>
        <v>6856</v>
      </c>
      <c r="T576" s="19">
        <f t="shared" si="559"/>
        <v>6856</v>
      </c>
      <c r="U576" s="19">
        <f t="shared" si="559"/>
        <v>6856</v>
      </c>
      <c r="W576" s="19">
        <f t="shared" ref="W576" si="560">W566+SUM(W571:W575)</f>
        <v>6856</v>
      </c>
      <c r="X576" s="19">
        <f t="shared" ref="X576:AA576" si="561">X566+SUM(X571:X575)</f>
        <v>6856</v>
      </c>
      <c r="Y576" s="19">
        <f t="shared" si="561"/>
        <v>6856</v>
      </c>
      <c r="Z576" s="19">
        <f t="shared" si="561"/>
        <v>6856</v>
      </c>
      <c r="AA576" s="19">
        <f t="shared" si="561"/>
        <v>6856</v>
      </c>
    </row>
    <row r="577" spans="1:27" x14ac:dyDescent="0.25">
      <c r="A577" s="15"/>
      <c r="D577" s="15"/>
      <c r="E577" s="15"/>
      <c r="F577" s="15"/>
      <c r="G577" s="15"/>
      <c r="H577" s="15"/>
      <c r="I577" s="15"/>
      <c r="J577" s="15"/>
      <c r="K577" s="15"/>
      <c r="L577" s="15"/>
      <c r="M577" s="15"/>
      <c r="N577" s="15"/>
      <c r="O577" s="15"/>
      <c r="P577" s="15"/>
      <c r="R577" s="15"/>
      <c r="S577" s="15"/>
      <c r="T577" s="15"/>
      <c r="U577" s="15"/>
      <c r="W577" s="82"/>
      <c r="X577" s="15"/>
      <c r="Y577" s="15"/>
      <c r="Z577" s="15"/>
      <c r="AA577" s="15"/>
    </row>
    <row r="578" spans="1:27" x14ac:dyDescent="0.25">
      <c r="A578" s="26" t="s">
        <v>198</v>
      </c>
      <c r="D578" s="15"/>
      <c r="E578" s="15"/>
      <c r="F578" s="15"/>
      <c r="G578" s="15"/>
      <c r="H578" s="15"/>
      <c r="I578" s="15"/>
      <c r="J578" s="15"/>
      <c r="K578" s="15"/>
      <c r="L578" s="15"/>
      <c r="M578" s="15"/>
      <c r="N578" s="15"/>
      <c r="O578" s="15"/>
      <c r="P578" s="15"/>
      <c r="R578" s="15"/>
      <c r="S578" s="15"/>
      <c r="T578" s="15"/>
      <c r="U578" s="15"/>
      <c r="W578" s="82"/>
      <c r="X578" s="15"/>
      <c r="Y578" s="15"/>
      <c r="Z578" s="15"/>
      <c r="AA578" s="15"/>
    </row>
    <row r="579" spans="1:27" x14ac:dyDescent="0.25">
      <c r="A579" s="15" t="s">
        <v>183</v>
      </c>
      <c r="D579" s="20">
        <v>400</v>
      </c>
      <c r="E579" s="20">
        <f>D589</f>
        <v>397</v>
      </c>
      <c r="F579" s="20">
        <f>E589</f>
        <v>405</v>
      </c>
      <c r="G579" s="20">
        <f>F589</f>
        <v>402</v>
      </c>
      <c r="H579" s="20">
        <v>398</v>
      </c>
      <c r="I579" s="20">
        <f t="shared" ref="I579:P579" si="562">H589</f>
        <v>392</v>
      </c>
      <c r="J579" s="20">
        <f t="shared" si="562"/>
        <v>381</v>
      </c>
      <c r="K579" s="20">
        <f t="shared" si="562"/>
        <v>371</v>
      </c>
      <c r="L579" s="20">
        <f t="shared" si="562"/>
        <v>351</v>
      </c>
      <c r="M579" s="20">
        <f t="shared" si="562"/>
        <v>352</v>
      </c>
      <c r="N579" s="20">
        <f t="shared" si="562"/>
        <v>365</v>
      </c>
      <c r="O579" s="20">
        <f t="shared" si="562"/>
        <v>358</v>
      </c>
      <c r="P579" s="20">
        <f t="shared" si="562"/>
        <v>360</v>
      </c>
      <c r="R579" s="20">
        <f>P589</f>
        <v>362</v>
      </c>
      <c r="S579" s="20">
        <f>R589</f>
        <v>362</v>
      </c>
      <c r="T579" s="20">
        <f t="shared" ref="T579:U579" si="563">S589</f>
        <v>362</v>
      </c>
      <c r="U579" s="20">
        <f t="shared" si="563"/>
        <v>362</v>
      </c>
      <c r="W579" s="246">
        <f>R579</f>
        <v>362</v>
      </c>
      <c r="X579" s="20">
        <f>W589</f>
        <v>362</v>
      </c>
      <c r="Y579" s="20">
        <f>X589</f>
        <v>362</v>
      </c>
      <c r="Z579" s="20">
        <f t="shared" ref="Z579:AA579" si="564">Y589</f>
        <v>362</v>
      </c>
      <c r="AA579" s="20">
        <f t="shared" si="564"/>
        <v>362</v>
      </c>
    </row>
    <row r="580" spans="1:27" x14ac:dyDescent="0.25">
      <c r="A580" s="15" t="s">
        <v>184</v>
      </c>
      <c r="D580" s="20">
        <v>2</v>
      </c>
      <c r="E580" s="20">
        <f>12-D580</f>
        <v>10</v>
      </c>
      <c r="F580" s="20">
        <f>14-E580-D580</f>
        <v>2</v>
      </c>
      <c r="G580" s="20">
        <f>18-F580-E580-D580</f>
        <v>4</v>
      </c>
      <c r="H580" s="20">
        <v>6</v>
      </c>
      <c r="I580" s="20">
        <f>12-H580</f>
        <v>6</v>
      </c>
      <c r="J580" s="20">
        <f>14-I580-H580</f>
        <v>2</v>
      </c>
      <c r="K580" s="20">
        <f>18-J580-I580-H580</f>
        <v>4</v>
      </c>
      <c r="L580" s="20">
        <v>3</v>
      </c>
      <c r="M580" s="20">
        <v>13</v>
      </c>
      <c r="N580" s="20">
        <v>0</v>
      </c>
      <c r="O580" s="20">
        <f>28-SUM(L580:N580)</f>
        <v>12</v>
      </c>
      <c r="P580" s="20">
        <v>8</v>
      </c>
      <c r="R580" s="102">
        <v>0</v>
      </c>
      <c r="S580" s="102">
        <v>0</v>
      </c>
      <c r="T580" s="102">
        <v>0</v>
      </c>
      <c r="U580" s="102">
        <v>0</v>
      </c>
      <c r="W580" s="246">
        <f>SUM(R580:U580)</f>
        <v>0</v>
      </c>
      <c r="X580" s="102">
        <v>0</v>
      </c>
      <c r="Y580" s="102">
        <v>0</v>
      </c>
      <c r="Z580" s="102">
        <v>0</v>
      </c>
      <c r="AA580" s="102">
        <v>0</v>
      </c>
    </row>
    <row r="581" spans="1:27" x14ac:dyDescent="0.25">
      <c r="A581" s="15" t="s">
        <v>185</v>
      </c>
      <c r="D581" s="20">
        <v>0</v>
      </c>
      <c r="E581" s="20">
        <v>0</v>
      </c>
      <c r="F581" s="20">
        <v>0</v>
      </c>
      <c r="G581" s="20">
        <f>1-F581-E581-D581</f>
        <v>1</v>
      </c>
      <c r="H581" s="20">
        <v>0</v>
      </c>
      <c r="I581" s="20">
        <v>0</v>
      </c>
      <c r="J581" s="20">
        <v>0</v>
      </c>
      <c r="K581" s="20">
        <v>0</v>
      </c>
      <c r="L581" s="20">
        <v>0</v>
      </c>
      <c r="M581" s="20">
        <v>0</v>
      </c>
      <c r="N581" s="20">
        <v>0</v>
      </c>
      <c r="O581" s="20">
        <v>0</v>
      </c>
      <c r="P581" s="20">
        <v>0</v>
      </c>
      <c r="R581" s="102">
        <v>0</v>
      </c>
      <c r="S581" s="102">
        <v>0</v>
      </c>
      <c r="T581" s="102">
        <v>0</v>
      </c>
      <c r="U581" s="102">
        <v>0</v>
      </c>
      <c r="W581" s="246">
        <f t="shared" ref="W581:W583" si="565">SUM(R581:U581)</f>
        <v>0</v>
      </c>
      <c r="X581" s="102">
        <v>0</v>
      </c>
      <c r="Y581" s="102">
        <v>0</v>
      </c>
      <c r="Z581" s="102">
        <v>0</v>
      </c>
      <c r="AA581" s="102">
        <v>0</v>
      </c>
    </row>
    <row r="582" spans="1:27" x14ac:dyDescent="0.25">
      <c r="A582" s="15" t="s">
        <v>186</v>
      </c>
      <c r="D582" s="20">
        <v>0</v>
      </c>
      <c r="E582" s="20">
        <v>0</v>
      </c>
      <c r="F582" s="20">
        <v>0</v>
      </c>
      <c r="G582" s="20">
        <v>0</v>
      </c>
      <c r="H582" s="20">
        <v>0</v>
      </c>
      <c r="I582" s="20">
        <v>0</v>
      </c>
      <c r="J582" s="20">
        <v>0</v>
      </c>
      <c r="K582" s="20">
        <v>0</v>
      </c>
      <c r="L582" s="20">
        <v>0</v>
      </c>
      <c r="M582" s="20">
        <v>0</v>
      </c>
      <c r="N582" s="20">
        <v>0</v>
      </c>
      <c r="O582" s="20">
        <v>0</v>
      </c>
      <c r="P582" s="20">
        <v>0</v>
      </c>
      <c r="R582" s="102">
        <v>0</v>
      </c>
      <c r="S582" s="102">
        <v>0</v>
      </c>
      <c r="T582" s="102">
        <v>0</v>
      </c>
      <c r="U582" s="102">
        <v>0</v>
      </c>
      <c r="W582" s="246">
        <f t="shared" si="565"/>
        <v>0</v>
      </c>
      <c r="X582" s="102">
        <v>0</v>
      </c>
      <c r="Y582" s="102">
        <v>0</v>
      </c>
      <c r="Z582" s="102">
        <v>0</v>
      </c>
      <c r="AA582" s="102">
        <v>0</v>
      </c>
    </row>
    <row r="583" spans="1:27" x14ac:dyDescent="0.25">
      <c r="A583" s="15" t="s">
        <v>187</v>
      </c>
      <c r="D583" s="22">
        <v>0</v>
      </c>
      <c r="E583" s="22">
        <f>-1-D583</f>
        <v>-1</v>
      </c>
      <c r="F583" s="22">
        <f>-3-E583-D583</f>
        <v>-2</v>
      </c>
      <c r="G583" s="22">
        <f>-5-F583-E583-D583</f>
        <v>-2</v>
      </c>
      <c r="H583" s="22">
        <v>-3</v>
      </c>
      <c r="I583" s="22">
        <f>-4-H583</f>
        <v>-1</v>
      </c>
      <c r="J583" s="22">
        <f>-4-I583-H583</f>
        <v>0</v>
      </c>
      <c r="K583" s="22">
        <f>-6-J583-I583-H583</f>
        <v>-2</v>
      </c>
      <c r="L583" s="22">
        <v>0</v>
      </c>
      <c r="M583" s="22">
        <v>0</v>
      </c>
      <c r="N583" s="22">
        <v>0</v>
      </c>
      <c r="O583" s="22">
        <f>-5-SUM(L583:N583)</f>
        <v>-5</v>
      </c>
      <c r="P583" s="22">
        <v>0</v>
      </c>
      <c r="R583" s="103">
        <v>0</v>
      </c>
      <c r="S583" s="103">
        <v>0</v>
      </c>
      <c r="T583" s="103">
        <v>0</v>
      </c>
      <c r="U583" s="103">
        <v>0</v>
      </c>
      <c r="W583" s="247">
        <f t="shared" si="565"/>
        <v>0</v>
      </c>
      <c r="X583" s="103">
        <v>0</v>
      </c>
      <c r="Y583" s="103">
        <v>0</v>
      </c>
      <c r="Z583" s="103">
        <v>0</v>
      </c>
      <c r="AA583" s="103">
        <v>0</v>
      </c>
    </row>
    <row r="584" spans="1:27" x14ac:dyDescent="0.25">
      <c r="A584" s="10" t="s">
        <v>188</v>
      </c>
      <c r="D584" s="19">
        <f>SUM(D580:D583)</f>
        <v>2</v>
      </c>
      <c r="E584" s="19">
        <f t="shared" ref="E584:P584" si="566">SUM(E580:E583)</f>
        <v>9</v>
      </c>
      <c r="F584" s="19">
        <f t="shared" si="566"/>
        <v>0</v>
      </c>
      <c r="G584" s="19">
        <f t="shared" si="566"/>
        <v>3</v>
      </c>
      <c r="H584" s="19">
        <f t="shared" si="566"/>
        <v>3</v>
      </c>
      <c r="I584" s="19">
        <f t="shared" si="566"/>
        <v>5</v>
      </c>
      <c r="J584" s="23">
        <f t="shared" si="566"/>
        <v>2</v>
      </c>
      <c r="K584" s="19">
        <f t="shared" si="566"/>
        <v>2</v>
      </c>
      <c r="L584" s="19">
        <f t="shared" si="566"/>
        <v>3</v>
      </c>
      <c r="M584" s="19">
        <f t="shared" si="566"/>
        <v>13</v>
      </c>
      <c r="N584" s="19">
        <f t="shared" si="566"/>
        <v>0</v>
      </c>
      <c r="O584" s="19">
        <f t="shared" si="566"/>
        <v>7</v>
      </c>
      <c r="P584" s="19">
        <f t="shared" si="566"/>
        <v>8</v>
      </c>
      <c r="R584" s="19">
        <f>SUM(R580:R583)</f>
        <v>0</v>
      </c>
      <c r="S584" s="19">
        <f t="shared" ref="S584" si="567">SUM(S580:S583)</f>
        <v>0</v>
      </c>
      <c r="T584" s="19">
        <f t="shared" ref="T584" si="568">SUM(T580:T583)</f>
        <v>0</v>
      </c>
      <c r="U584" s="19">
        <f t="shared" ref="U584" si="569">SUM(U580:U583)</f>
        <v>0</v>
      </c>
      <c r="W584" s="19">
        <f>SUM(W580:W583)</f>
        <v>0</v>
      </c>
      <c r="X584" s="19">
        <f>SUM(X580:X583)</f>
        <v>0</v>
      </c>
      <c r="Y584" s="19">
        <f t="shared" ref="Y584" si="570">SUM(Y580:Y583)</f>
        <v>0</v>
      </c>
      <c r="Z584" s="19">
        <f t="shared" ref="Z584" si="571">SUM(Z580:Z583)</f>
        <v>0</v>
      </c>
      <c r="AA584" s="19">
        <f t="shared" ref="AA584" si="572">SUM(AA580:AA583)</f>
        <v>0</v>
      </c>
    </row>
    <row r="585" spans="1:27" x14ac:dyDescent="0.25">
      <c r="A585" s="9"/>
      <c r="D585" s="19"/>
      <c r="E585" s="19"/>
      <c r="F585" s="19"/>
      <c r="G585" s="19"/>
      <c r="H585" s="19"/>
      <c r="I585" s="19"/>
      <c r="J585" s="23"/>
      <c r="K585" s="19"/>
      <c r="L585" s="19"/>
      <c r="M585" s="19"/>
      <c r="N585" s="19"/>
      <c r="O585" s="19"/>
      <c r="P585" s="19"/>
      <c r="R585" s="19"/>
      <c r="S585" s="19"/>
      <c r="T585" s="19"/>
      <c r="U585" s="19"/>
      <c r="W585" s="82"/>
      <c r="X585" s="19"/>
      <c r="Y585" s="19"/>
      <c r="Z585" s="19"/>
      <c r="AA585" s="19"/>
    </row>
    <row r="586" spans="1:27" x14ac:dyDescent="0.25">
      <c r="A586" s="15" t="s">
        <v>189</v>
      </c>
      <c r="D586" s="20">
        <v>0</v>
      </c>
      <c r="E586" s="20">
        <v>0</v>
      </c>
      <c r="F586" s="20">
        <v>0</v>
      </c>
      <c r="G586" s="20">
        <v>0</v>
      </c>
      <c r="H586" s="20">
        <v>0</v>
      </c>
      <c r="I586" s="20">
        <v>0</v>
      </c>
      <c r="J586" s="20">
        <v>0</v>
      </c>
      <c r="K586" s="20">
        <v>0</v>
      </c>
      <c r="L586" s="20">
        <v>0</v>
      </c>
      <c r="M586" s="20">
        <v>0</v>
      </c>
      <c r="N586" s="20">
        <v>0</v>
      </c>
      <c r="O586" s="20">
        <v>0</v>
      </c>
      <c r="P586" s="20">
        <v>0</v>
      </c>
      <c r="R586" s="102">
        <v>0</v>
      </c>
      <c r="S586" s="102">
        <v>0</v>
      </c>
      <c r="T586" s="102">
        <v>0</v>
      </c>
      <c r="U586" s="102">
        <v>0</v>
      </c>
      <c r="W586" s="246">
        <f>SUM(R586:U586)</f>
        <v>0</v>
      </c>
      <c r="X586" s="102">
        <v>0</v>
      </c>
      <c r="Y586" s="102">
        <v>0</v>
      </c>
      <c r="Z586" s="102">
        <v>0</v>
      </c>
      <c r="AA586" s="102">
        <v>0</v>
      </c>
    </row>
    <row r="587" spans="1:27" x14ac:dyDescent="0.25">
      <c r="A587" s="15" t="s">
        <v>199</v>
      </c>
      <c r="D587" s="20">
        <v>0</v>
      </c>
      <c r="E587" s="20">
        <v>0</v>
      </c>
      <c r="F587" s="20">
        <v>0</v>
      </c>
      <c r="G587" s="20">
        <v>0</v>
      </c>
      <c r="H587" s="20">
        <v>0</v>
      </c>
      <c r="I587" s="20">
        <v>0</v>
      </c>
      <c r="J587" s="20">
        <v>0</v>
      </c>
      <c r="K587" s="20">
        <v>0</v>
      </c>
      <c r="L587" s="20">
        <v>0</v>
      </c>
      <c r="M587" s="20">
        <v>0</v>
      </c>
      <c r="N587" s="20">
        <v>0</v>
      </c>
      <c r="O587" s="20">
        <v>0</v>
      </c>
      <c r="P587" s="20">
        <v>0</v>
      </c>
      <c r="R587" s="102">
        <v>0</v>
      </c>
      <c r="S587" s="102">
        <v>0</v>
      </c>
      <c r="T587" s="102">
        <v>0</v>
      </c>
      <c r="U587" s="102">
        <v>0</v>
      </c>
      <c r="W587" s="246">
        <f t="shared" ref="W587:W588" si="573">SUM(R587:U587)</f>
        <v>0</v>
      </c>
      <c r="X587" s="102">
        <v>0</v>
      </c>
      <c r="Y587" s="102">
        <v>0</v>
      </c>
      <c r="Z587" s="102">
        <v>0</v>
      </c>
      <c r="AA587" s="102">
        <v>0</v>
      </c>
    </row>
    <row r="588" spans="1:27" x14ac:dyDescent="0.25">
      <c r="A588" s="15" t="s">
        <v>191</v>
      </c>
      <c r="D588" s="22">
        <v>-5</v>
      </c>
      <c r="E588" s="22">
        <f>-6-D588</f>
        <v>-1</v>
      </c>
      <c r="F588" s="22">
        <f>-9-E588-D588</f>
        <v>-3</v>
      </c>
      <c r="G588" s="22">
        <f>-16-F588-E588-D588</f>
        <v>-7</v>
      </c>
      <c r="H588" s="22">
        <v>-9</v>
      </c>
      <c r="I588" s="22">
        <f>-25-H588</f>
        <v>-16</v>
      </c>
      <c r="J588" s="22">
        <f>-37-I588-H588</f>
        <v>-12</v>
      </c>
      <c r="K588" s="22">
        <f>-59-J588-I588-H588</f>
        <v>-22</v>
      </c>
      <c r="L588" s="22">
        <v>-2</v>
      </c>
      <c r="M588" s="22">
        <v>0</v>
      </c>
      <c r="N588" s="22">
        <v>-7</v>
      </c>
      <c r="O588" s="22">
        <f>-14-SUM(L588:N588)</f>
        <v>-5</v>
      </c>
      <c r="P588" s="22">
        <v>-6</v>
      </c>
      <c r="R588" s="103">
        <v>0</v>
      </c>
      <c r="S588" s="103">
        <v>0</v>
      </c>
      <c r="T588" s="103">
        <v>0</v>
      </c>
      <c r="U588" s="103">
        <v>0</v>
      </c>
      <c r="W588" s="247">
        <f t="shared" si="573"/>
        <v>0</v>
      </c>
      <c r="X588" s="103">
        <v>0</v>
      </c>
      <c r="Y588" s="103">
        <v>0</v>
      </c>
      <c r="Z588" s="103">
        <v>0</v>
      </c>
      <c r="AA588" s="103">
        <v>0</v>
      </c>
    </row>
    <row r="589" spans="1:27" x14ac:dyDescent="0.25">
      <c r="A589" s="9" t="s">
        <v>200</v>
      </c>
      <c r="D589" s="19">
        <f t="shared" ref="D589:P589" si="574">D579+SUM(D584:D588)</f>
        <v>397</v>
      </c>
      <c r="E589" s="19">
        <f t="shared" si="574"/>
        <v>405</v>
      </c>
      <c r="F589" s="19">
        <f t="shared" si="574"/>
        <v>402</v>
      </c>
      <c r="G589" s="19">
        <f t="shared" si="574"/>
        <v>398</v>
      </c>
      <c r="H589" s="19">
        <f t="shared" si="574"/>
        <v>392</v>
      </c>
      <c r="I589" s="19">
        <f t="shared" si="574"/>
        <v>381</v>
      </c>
      <c r="J589" s="23">
        <f t="shared" si="574"/>
        <v>371</v>
      </c>
      <c r="K589" s="19">
        <f t="shared" si="574"/>
        <v>351</v>
      </c>
      <c r="L589" s="19">
        <f t="shared" si="574"/>
        <v>352</v>
      </c>
      <c r="M589" s="19">
        <f t="shared" si="574"/>
        <v>365</v>
      </c>
      <c r="N589" s="19">
        <f t="shared" si="574"/>
        <v>358</v>
      </c>
      <c r="O589" s="19">
        <f t="shared" si="574"/>
        <v>360</v>
      </c>
      <c r="P589" s="19">
        <f t="shared" si="574"/>
        <v>362</v>
      </c>
      <c r="R589" s="19">
        <f t="shared" ref="R589:U589" si="575">R579+SUM(R584:R588)</f>
        <v>362</v>
      </c>
      <c r="S589" s="19">
        <f t="shared" si="575"/>
        <v>362</v>
      </c>
      <c r="T589" s="19">
        <f t="shared" si="575"/>
        <v>362</v>
      </c>
      <c r="U589" s="19">
        <f t="shared" si="575"/>
        <v>362</v>
      </c>
      <c r="W589" s="19">
        <f t="shared" ref="W589" si="576">W579+SUM(W584:W588)</f>
        <v>362</v>
      </c>
      <c r="X589" s="19">
        <f t="shared" ref="X589:AA589" si="577">X579+SUM(X584:X588)</f>
        <v>362</v>
      </c>
      <c r="Y589" s="19">
        <f t="shared" si="577"/>
        <v>362</v>
      </c>
      <c r="Z589" s="19">
        <f t="shared" si="577"/>
        <v>362</v>
      </c>
      <c r="AA589" s="19">
        <f t="shared" si="577"/>
        <v>362</v>
      </c>
    </row>
    <row r="590" spans="1:27" x14ac:dyDescent="0.25">
      <c r="A590" s="15"/>
      <c r="D590" s="15"/>
      <c r="E590" s="15"/>
      <c r="F590" s="15"/>
      <c r="G590" s="15"/>
      <c r="H590" s="15"/>
      <c r="I590" s="15"/>
      <c r="J590" s="15"/>
      <c r="K590" s="15"/>
      <c r="L590" s="15"/>
      <c r="M590" s="15"/>
      <c r="N590" s="15"/>
      <c r="O590" s="15"/>
      <c r="P590" s="15"/>
      <c r="R590" s="15"/>
      <c r="S590" s="15"/>
      <c r="T590" s="15"/>
      <c r="U590" s="15"/>
      <c r="X590" s="15"/>
      <c r="Y590" s="15"/>
      <c r="Z590" s="15"/>
      <c r="AA590" s="15"/>
    </row>
    <row r="591" spans="1:27" x14ac:dyDescent="0.25">
      <c r="A591" s="27" t="s">
        <v>250</v>
      </c>
      <c r="B591" s="104"/>
      <c r="C591" s="104"/>
      <c r="D591" s="15"/>
      <c r="E591" s="15"/>
      <c r="F591" s="15"/>
      <c r="G591" s="15"/>
      <c r="H591" s="15"/>
      <c r="I591" s="15"/>
      <c r="J591" s="15"/>
      <c r="K591" s="15"/>
      <c r="L591" s="15"/>
      <c r="M591" s="15"/>
      <c r="N591" s="15"/>
      <c r="O591" s="15"/>
      <c r="P591" s="15"/>
      <c r="Q591" s="104"/>
      <c r="R591" s="15"/>
      <c r="S591" s="15"/>
      <c r="T591" s="15"/>
      <c r="U591" s="15"/>
      <c r="V591" s="104"/>
      <c r="W591" s="104"/>
      <c r="X591" s="15"/>
      <c r="Y591" s="15"/>
      <c r="Z591" s="15"/>
      <c r="AA591" s="15"/>
    </row>
    <row r="592" spans="1:27" x14ac:dyDescent="0.25">
      <c r="A592" s="15" t="s">
        <v>183</v>
      </c>
      <c r="B592" s="104"/>
      <c r="C592" s="104"/>
      <c r="D592" s="20">
        <f t="shared" ref="D592:N592" si="578">D566+D579</f>
        <v>7883</v>
      </c>
      <c r="E592" s="20">
        <f t="shared" si="578"/>
        <v>7884</v>
      </c>
      <c r="F592" s="20">
        <f t="shared" si="578"/>
        <v>7851</v>
      </c>
      <c r="G592" s="20">
        <f t="shared" si="578"/>
        <v>7767</v>
      </c>
      <c r="H592" s="20">
        <f t="shared" si="578"/>
        <v>7722</v>
      </c>
      <c r="I592" s="20">
        <f t="shared" si="578"/>
        <v>7680</v>
      </c>
      <c r="J592" s="20">
        <f t="shared" si="578"/>
        <v>7601</v>
      </c>
      <c r="K592" s="20">
        <f t="shared" si="578"/>
        <v>7533</v>
      </c>
      <c r="L592" s="20">
        <f t="shared" si="578"/>
        <v>7435</v>
      </c>
      <c r="M592" s="20">
        <f t="shared" si="578"/>
        <v>7403</v>
      </c>
      <c r="N592" s="20">
        <f t="shared" si="578"/>
        <v>7388</v>
      </c>
      <c r="O592" s="20">
        <f t="shared" ref="O592:P592" si="579">O566+O579</f>
        <v>7317</v>
      </c>
      <c r="P592" s="20">
        <f t="shared" si="579"/>
        <v>7277</v>
      </c>
      <c r="Q592" s="104"/>
      <c r="R592" s="20">
        <f t="shared" ref="R592:U596" si="580">R566+R579</f>
        <v>7218</v>
      </c>
      <c r="S592" s="20">
        <f t="shared" si="580"/>
        <v>7218</v>
      </c>
      <c r="T592" s="20">
        <f t="shared" si="580"/>
        <v>7218</v>
      </c>
      <c r="U592" s="20">
        <f t="shared" si="580"/>
        <v>7218</v>
      </c>
      <c r="V592" s="104"/>
      <c r="W592" s="20">
        <f t="shared" ref="W592:AA596" si="581">W566+W579</f>
        <v>7218</v>
      </c>
      <c r="X592" s="20">
        <f t="shared" si="581"/>
        <v>7218</v>
      </c>
      <c r="Y592" s="20">
        <f t="shared" si="581"/>
        <v>7218</v>
      </c>
      <c r="Z592" s="20">
        <f t="shared" si="581"/>
        <v>7218</v>
      </c>
      <c r="AA592" s="20">
        <f t="shared" si="581"/>
        <v>7218</v>
      </c>
    </row>
    <row r="593" spans="1:27" x14ac:dyDescent="0.25">
      <c r="A593" s="15" t="s">
        <v>184</v>
      </c>
      <c r="B593" s="104"/>
      <c r="C593" s="104"/>
      <c r="D593" s="20">
        <f t="shared" ref="D593:L593" si="582">D567+D580</f>
        <v>47</v>
      </c>
      <c r="E593" s="20">
        <f t="shared" si="582"/>
        <v>53</v>
      </c>
      <c r="F593" s="20">
        <f t="shared" si="582"/>
        <v>45</v>
      </c>
      <c r="G593" s="20">
        <f t="shared" si="582"/>
        <v>64</v>
      </c>
      <c r="H593" s="20">
        <f t="shared" si="582"/>
        <v>57</v>
      </c>
      <c r="I593" s="20">
        <f t="shared" si="582"/>
        <v>65</v>
      </c>
      <c r="J593" s="20">
        <f t="shared" si="582"/>
        <v>40</v>
      </c>
      <c r="K593" s="20">
        <f t="shared" si="582"/>
        <v>28</v>
      </c>
      <c r="L593" s="20">
        <f t="shared" si="582"/>
        <v>30</v>
      </c>
      <c r="M593" s="20">
        <f t="shared" ref="M593:N593" si="583">M567+M580</f>
        <v>49</v>
      </c>
      <c r="N593" s="20">
        <f t="shared" si="583"/>
        <v>33</v>
      </c>
      <c r="O593" s="20">
        <f t="shared" ref="O593:P593" si="584">O567+O580</f>
        <v>40</v>
      </c>
      <c r="P593" s="20">
        <f t="shared" si="584"/>
        <v>32</v>
      </c>
      <c r="Q593" s="104"/>
      <c r="R593" s="20">
        <f t="shared" si="580"/>
        <v>0</v>
      </c>
      <c r="S593" s="20">
        <f t="shared" si="580"/>
        <v>0</v>
      </c>
      <c r="T593" s="20">
        <f t="shared" si="580"/>
        <v>0</v>
      </c>
      <c r="U593" s="20">
        <f t="shared" si="580"/>
        <v>0</v>
      </c>
      <c r="V593" s="104"/>
      <c r="W593" s="20">
        <f t="shared" ref="W593" si="585">W567+W580</f>
        <v>0</v>
      </c>
      <c r="X593" s="20">
        <f t="shared" si="581"/>
        <v>0</v>
      </c>
      <c r="Y593" s="20">
        <f t="shared" si="581"/>
        <v>0</v>
      </c>
      <c r="Z593" s="20">
        <f t="shared" si="581"/>
        <v>0</v>
      </c>
      <c r="AA593" s="20">
        <f t="shared" si="581"/>
        <v>0</v>
      </c>
    </row>
    <row r="594" spans="1:27" x14ac:dyDescent="0.25">
      <c r="A594" s="15" t="s">
        <v>185</v>
      </c>
      <c r="B594" s="104"/>
      <c r="C594" s="104"/>
      <c r="D594" s="20">
        <f t="shared" ref="D594:L594" si="586">D568+D581</f>
        <v>1</v>
      </c>
      <c r="E594" s="20">
        <f t="shared" si="586"/>
        <v>0</v>
      </c>
      <c r="F594" s="20">
        <f t="shared" si="586"/>
        <v>0</v>
      </c>
      <c r="G594" s="20">
        <f t="shared" si="586"/>
        <v>1</v>
      </c>
      <c r="H594" s="20">
        <f t="shared" si="586"/>
        <v>0</v>
      </c>
      <c r="I594" s="20">
        <f t="shared" si="586"/>
        <v>0</v>
      </c>
      <c r="J594" s="20">
        <f t="shared" si="586"/>
        <v>0</v>
      </c>
      <c r="K594" s="20">
        <f t="shared" si="586"/>
        <v>0</v>
      </c>
      <c r="L594" s="20">
        <f t="shared" si="586"/>
        <v>0</v>
      </c>
      <c r="M594" s="20">
        <f t="shared" ref="M594:N594" si="587">M568+M581</f>
        <v>0</v>
      </c>
      <c r="N594" s="20">
        <f t="shared" si="587"/>
        <v>0</v>
      </c>
      <c r="O594" s="20">
        <f t="shared" ref="O594:P594" si="588">O568+O581</f>
        <v>0</v>
      </c>
      <c r="P594" s="20">
        <f t="shared" si="588"/>
        <v>0</v>
      </c>
      <c r="Q594" s="104"/>
      <c r="R594" s="20">
        <f t="shared" si="580"/>
        <v>0</v>
      </c>
      <c r="S594" s="20">
        <f t="shared" si="580"/>
        <v>0</v>
      </c>
      <c r="T594" s="20">
        <f t="shared" si="580"/>
        <v>0</v>
      </c>
      <c r="U594" s="20">
        <f t="shared" si="580"/>
        <v>0</v>
      </c>
      <c r="V594" s="104"/>
      <c r="W594" s="20">
        <f t="shared" ref="W594" si="589">W568+W581</f>
        <v>0</v>
      </c>
      <c r="X594" s="20">
        <f t="shared" si="581"/>
        <v>0</v>
      </c>
      <c r="Y594" s="20">
        <f t="shared" si="581"/>
        <v>0</v>
      </c>
      <c r="Z594" s="20">
        <f t="shared" si="581"/>
        <v>0</v>
      </c>
      <c r="AA594" s="20">
        <f t="shared" si="581"/>
        <v>0</v>
      </c>
    </row>
    <row r="595" spans="1:27" x14ac:dyDescent="0.25">
      <c r="A595" s="15" t="s">
        <v>186</v>
      </c>
      <c r="B595" s="104"/>
      <c r="C595" s="104"/>
      <c r="D595" s="20">
        <f t="shared" ref="D595:L595" si="590">D569+D582</f>
        <v>5</v>
      </c>
      <c r="E595" s="20">
        <f t="shared" si="590"/>
        <v>3</v>
      </c>
      <c r="F595" s="20">
        <f t="shared" si="590"/>
        <v>0</v>
      </c>
      <c r="G595" s="20">
        <f t="shared" si="590"/>
        <v>3</v>
      </c>
      <c r="H595" s="20">
        <f t="shared" si="590"/>
        <v>0</v>
      </c>
      <c r="I595" s="20">
        <f t="shared" si="590"/>
        <v>1</v>
      </c>
      <c r="J595" s="20">
        <f t="shared" si="590"/>
        <v>0</v>
      </c>
      <c r="K595" s="20">
        <f t="shared" si="590"/>
        <v>-1</v>
      </c>
      <c r="L595" s="20">
        <f t="shared" si="590"/>
        <v>1</v>
      </c>
      <c r="M595" s="20">
        <f t="shared" ref="M595:N595" si="591">M569+M582</f>
        <v>1</v>
      </c>
      <c r="N595" s="20">
        <f t="shared" si="591"/>
        <v>0</v>
      </c>
      <c r="O595" s="20">
        <f t="shared" ref="O595:P595" si="592">O569+O582</f>
        <v>0</v>
      </c>
      <c r="P595" s="20">
        <f t="shared" si="592"/>
        <v>0</v>
      </c>
      <c r="Q595" s="104"/>
      <c r="R595" s="20">
        <f t="shared" si="580"/>
        <v>0</v>
      </c>
      <c r="S595" s="20">
        <f t="shared" si="580"/>
        <v>0</v>
      </c>
      <c r="T595" s="20">
        <f t="shared" si="580"/>
        <v>0</v>
      </c>
      <c r="U595" s="20">
        <f t="shared" si="580"/>
        <v>0</v>
      </c>
      <c r="V595" s="104"/>
      <c r="W595" s="20">
        <f t="shared" ref="W595" si="593">W569+W582</f>
        <v>0</v>
      </c>
      <c r="X595" s="20">
        <f t="shared" si="581"/>
        <v>0</v>
      </c>
      <c r="Y595" s="20">
        <f t="shared" si="581"/>
        <v>0</v>
      </c>
      <c r="Z595" s="20">
        <f t="shared" si="581"/>
        <v>0</v>
      </c>
      <c r="AA595" s="20">
        <f t="shared" si="581"/>
        <v>0</v>
      </c>
    </row>
    <row r="596" spans="1:27" x14ac:dyDescent="0.25">
      <c r="A596" s="15" t="s">
        <v>187</v>
      </c>
      <c r="B596" s="104"/>
      <c r="C596" s="104"/>
      <c r="D596" s="22">
        <f t="shared" ref="D596:L596" si="594">D570+D583</f>
        <v>-9</v>
      </c>
      <c r="E596" s="22">
        <f t="shared" si="594"/>
        <v>-13</v>
      </c>
      <c r="F596" s="22">
        <f t="shared" si="594"/>
        <v>-6</v>
      </c>
      <c r="G596" s="22">
        <f t="shared" si="594"/>
        <v>-15</v>
      </c>
      <c r="H596" s="22">
        <f t="shared" si="594"/>
        <v>-11</v>
      </c>
      <c r="I596" s="22">
        <f t="shared" si="594"/>
        <v>-11</v>
      </c>
      <c r="J596" s="22">
        <f t="shared" si="594"/>
        <v>-6</v>
      </c>
      <c r="K596" s="22">
        <f t="shared" si="594"/>
        <v>-9</v>
      </c>
      <c r="L596" s="22">
        <f t="shared" si="594"/>
        <v>-2</v>
      </c>
      <c r="M596" s="22">
        <f t="shared" ref="M596:N596" si="595">M570+M583</f>
        <v>-6</v>
      </c>
      <c r="N596" s="22">
        <f t="shared" si="595"/>
        <v>-6</v>
      </c>
      <c r="O596" s="22">
        <f t="shared" ref="O596:P596" si="596">O570+O583</f>
        <v>-11</v>
      </c>
      <c r="P596" s="22">
        <f t="shared" si="596"/>
        <v>-5</v>
      </c>
      <c r="Q596" s="104"/>
      <c r="R596" s="22">
        <f t="shared" si="580"/>
        <v>0</v>
      </c>
      <c r="S596" s="22">
        <f t="shared" si="580"/>
        <v>0</v>
      </c>
      <c r="T596" s="22">
        <f t="shared" si="580"/>
        <v>0</v>
      </c>
      <c r="U596" s="22">
        <f t="shared" si="580"/>
        <v>0</v>
      </c>
      <c r="V596" s="104"/>
      <c r="W596" s="22">
        <f t="shared" ref="W596" si="597">W570+W583</f>
        <v>0</v>
      </c>
      <c r="X596" s="22">
        <f t="shared" si="581"/>
        <v>0</v>
      </c>
      <c r="Y596" s="22">
        <f t="shared" si="581"/>
        <v>0</v>
      </c>
      <c r="Z596" s="22">
        <f t="shared" si="581"/>
        <v>0</v>
      </c>
      <c r="AA596" s="22">
        <f t="shared" si="581"/>
        <v>0</v>
      </c>
    </row>
    <row r="597" spans="1:27" x14ac:dyDescent="0.25">
      <c r="A597" s="16" t="s">
        <v>188</v>
      </c>
      <c r="B597" s="104"/>
      <c r="C597" s="104"/>
      <c r="D597" s="23">
        <f t="shared" ref="D597:L597" si="598">SUM(D593:D596)</f>
        <v>44</v>
      </c>
      <c r="E597" s="23">
        <f t="shared" si="598"/>
        <v>43</v>
      </c>
      <c r="F597" s="23">
        <f t="shared" si="598"/>
        <v>39</v>
      </c>
      <c r="G597" s="23">
        <f t="shared" si="598"/>
        <v>53</v>
      </c>
      <c r="H597" s="23">
        <f t="shared" si="598"/>
        <v>46</v>
      </c>
      <c r="I597" s="23">
        <f t="shared" si="598"/>
        <v>55</v>
      </c>
      <c r="J597" s="23">
        <f t="shared" si="598"/>
        <v>34</v>
      </c>
      <c r="K597" s="23">
        <f t="shared" si="598"/>
        <v>18</v>
      </c>
      <c r="L597" s="23">
        <f t="shared" si="598"/>
        <v>29</v>
      </c>
      <c r="M597" s="23">
        <f t="shared" ref="M597:N597" si="599">SUM(M593:M596)</f>
        <v>44</v>
      </c>
      <c r="N597" s="23">
        <f t="shared" si="599"/>
        <v>27</v>
      </c>
      <c r="O597" s="23">
        <f t="shared" ref="O597:P597" si="600">SUM(O593:O596)</f>
        <v>29</v>
      </c>
      <c r="P597" s="23">
        <f t="shared" si="600"/>
        <v>27</v>
      </c>
      <c r="Q597" s="104"/>
      <c r="R597" s="23">
        <f t="shared" ref="R597:U597" si="601">SUM(R593:R596)</f>
        <v>0</v>
      </c>
      <c r="S597" s="23">
        <f t="shared" si="601"/>
        <v>0</v>
      </c>
      <c r="T597" s="23">
        <f t="shared" si="601"/>
        <v>0</v>
      </c>
      <c r="U597" s="23">
        <f t="shared" si="601"/>
        <v>0</v>
      </c>
      <c r="V597" s="104"/>
      <c r="W597" s="19">
        <f>SUM(W593:W596)</f>
        <v>0</v>
      </c>
      <c r="X597" s="23">
        <f t="shared" ref="X597:AA597" si="602">SUM(X593:X596)</f>
        <v>0</v>
      </c>
      <c r="Y597" s="23">
        <f t="shared" si="602"/>
        <v>0</v>
      </c>
      <c r="Z597" s="23">
        <f t="shared" si="602"/>
        <v>0</v>
      </c>
      <c r="AA597" s="23">
        <f t="shared" si="602"/>
        <v>0</v>
      </c>
    </row>
    <row r="598" spans="1:27" x14ac:dyDescent="0.25">
      <c r="A598" s="17"/>
      <c r="B598" s="104"/>
      <c r="C598" s="104"/>
      <c r="D598" s="23"/>
      <c r="E598" s="23"/>
      <c r="F598" s="23"/>
      <c r="G598" s="23"/>
      <c r="H598" s="23"/>
      <c r="I598" s="23"/>
      <c r="J598" s="23"/>
      <c r="K598" s="23"/>
      <c r="L598" s="23"/>
      <c r="M598" s="23"/>
      <c r="N598" s="23"/>
      <c r="O598" s="23"/>
      <c r="P598" s="23"/>
      <c r="Q598" s="104"/>
      <c r="R598" s="23"/>
      <c r="S598" s="23"/>
      <c r="T598" s="23"/>
      <c r="U598" s="23"/>
      <c r="V598" s="104"/>
      <c r="W598" s="82"/>
      <c r="X598" s="23"/>
      <c r="Y598" s="23"/>
      <c r="Z598" s="23"/>
      <c r="AA598" s="23"/>
    </row>
    <row r="599" spans="1:27" x14ac:dyDescent="0.25">
      <c r="A599" s="15" t="s">
        <v>189</v>
      </c>
      <c r="B599" s="104"/>
      <c r="C599" s="104"/>
      <c r="D599" s="20">
        <f t="shared" ref="D599:L599" si="603">D573+D586</f>
        <v>-1</v>
      </c>
      <c r="E599" s="20">
        <f t="shared" si="603"/>
        <v>1</v>
      </c>
      <c r="F599" s="20">
        <f t="shared" si="603"/>
        <v>0</v>
      </c>
      <c r="G599" s="20">
        <f t="shared" si="603"/>
        <v>0</v>
      </c>
      <c r="H599" s="20">
        <f t="shared" si="603"/>
        <v>0</v>
      </c>
      <c r="I599" s="20">
        <f t="shared" si="603"/>
        <v>0</v>
      </c>
      <c r="J599" s="20">
        <f t="shared" si="603"/>
        <v>0</v>
      </c>
      <c r="K599" s="20">
        <f t="shared" si="603"/>
        <v>0</v>
      </c>
      <c r="L599" s="20">
        <f t="shared" si="603"/>
        <v>0</v>
      </c>
      <c r="M599" s="20">
        <f t="shared" ref="M599:N599" si="604">M573+M586</f>
        <v>0</v>
      </c>
      <c r="N599" s="20">
        <f t="shared" si="604"/>
        <v>0</v>
      </c>
      <c r="O599" s="20">
        <f t="shared" ref="O599:P599" si="605">O573+O586</f>
        <v>0</v>
      </c>
      <c r="P599" s="20">
        <f t="shared" si="605"/>
        <v>0</v>
      </c>
      <c r="Q599" s="104"/>
      <c r="R599" s="20">
        <f t="shared" ref="R599:U601" si="606">R573+R586</f>
        <v>0</v>
      </c>
      <c r="S599" s="20">
        <f t="shared" si="606"/>
        <v>0</v>
      </c>
      <c r="T599" s="20">
        <f t="shared" si="606"/>
        <v>0</v>
      </c>
      <c r="U599" s="20">
        <f t="shared" si="606"/>
        <v>0</v>
      </c>
      <c r="V599" s="104"/>
      <c r="W599" s="20">
        <f t="shared" ref="W599" si="607">W573+W586</f>
        <v>0</v>
      </c>
      <c r="X599" s="20">
        <f t="shared" ref="X599:AA601" si="608">X573+X586</f>
        <v>0</v>
      </c>
      <c r="Y599" s="20">
        <f t="shared" si="608"/>
        <v>0</v>
      </c>
      <c r="Z599" s="20">
        <f t="shared" si="608"/>
        <v>0</v>
      </c>
      <c r="AA599" s="20">
        <f t="shared" si="608"/>
        <v>0</v>
      </c>
    </row>
    <row r="600" spans="1:27" x14ac:dyDescent="0.25">
      <c r="A600" s="15" t="s">
        <v>202</v>
      </c>
      <c r="B600" s="104"/>
      <c r="C600" s="104"/>
      <c r="D600" s="20">
        <f t="shared" ref="D600:L600" si="609">D574+D587</f>
        <v>0</v>
      </c>
      <c r="E600" s="20">
        <f t="shared" si="609"/>
        <v>-5</v>
      </c>
      <c r="F600" s="20">
        <f t="shared" si="609"/>
        <v>-2</v>
      </c>
      <c r="G600" s="20">
        <f t="shared" si="609"/>
        <v>0</v>
      </c>
      <c r="H600" s="20">
        <f t="shared" si="609"/>
        <v>-3</v>
      </c>
      <c r="I600" s="20">
        <f t="shared" si="609"/>
        <v>-4</v>
      </c>
      <c r="J600" s="20">
        <f t="shared" si="609"/>
        <v>-2</v>
      </c>
      <c r="K600" s="20">
        <f t="shared" si="609"/>
        <v>-8</v>
      </c>
      <c r="L600" s="20">
        <f t="shared" si="609"/>
        <v>-6</v>
      </c>
      <c r="M600" s="20">
        <f t="shared" ref="M600:N600" si="610">M574+M587</f>
        <v>-3</v>
      </c>
      <c r="N600" s="20">
        <f t="shared" si="610"/>
        <v>-6</v>
      </c>
      <c r="O600" s="20">
        <f t="shared" ref="O600:P600" si="611">O574+O587</f>
        <v>-13</v>
      </c>
      <c r="P600" s="20">
        <f t="shared" si="611"/>
        <v>-10</v>
      </c>
      <c r="Q600" s="104"/>
      <c r="R600" s="20">
        <f t="shared" si="606"/>
        <v>0</v>
      </c>
      <c r="S600" s="20">
        <f t="shared" si="606"/>
        <v>0</v>
      </c>
      <c r="T600" s="20">
        <f t="shared" si="606"/>
        <v>0</v>
      </c>
      <c r="U600" s="20">
        <f t="shared" si="606"/>
        <v>0</v>
      </c>
      <c r="V600" s="104"/>
      <c r="W600" s="20">
        <f t="shared" ref="W600" si="612">W574+W587</f>
        <v>0</v>
      </c>
      <c r="X600" s="20">
        <f t="shared" si="608"/>
        <v>0</v>
      </c>
      <c r="Y600" s="20">
        <f t="shared" si="608"/>
        <v>0</v>
      </c>
      <c r="Z600" s="20">
        <f t="shared" si="608"/>
        <v>0</v>
      </c>
      <c r="AA600" s="20">
        <f t="shared" si="608"/>
        <v>0</v>
      </c>
    </row>
    <row r="601" spans="1:27" x14ac:dyDescent="0.25">
      <c r="A601" s="15" t="s">
        <v>191</v>
      </c>
      <c r="B601" s="104"/>
      <c r="C601" s="104"/>
      <c r="D601" s="22">
        <f t="shared" ref="D601:L601" si="613">D575+D588</f>
        <v>-42</v>
      </c>
      <c r="E601" s="22">
        <f t="shared" si="613"/>
        <v>-72</v>
      </c>
      <c r="F601" s="22">
        <f t="shared" si="613"/>
        <v>-121</v>
      </c>
      <c r="G601" s="22">
        <f t="shared" si="613"/>
        <v>-98</v>
      </c>
      <c r="H601" s="22">
        <f t="shared" si="613"/>
        <v>-85</v>
      </c>
      <c r="I601" s="22">
        <f t="shared" si="613"/>
        <v>-130</v>
      </c>
      <c r="J601" s="22">
        <f t="shared" si="613"/>
        <v>-100</v>
      </c>
      <c r="K601" s="22">
        <f t="shared" si="613"/>
        <v>-108</v>
      </c>
      <c r="L601" s="22">
        <f t="shared" si="613"/>
        <v>-55</v>
      </c>
      <c r="M601" s="22">
        <f t="shared" ref="M601:N601" si="614">M575+M588</f>
        <v>-56</v>
      </c>
      <c r="N601" s="22">
        <f t="shared" si="614"/>
        <v>-92</v>
      </c>
      <c r="O601" s="22">
        <f t="shared" ref="O601:P601" si="615">O575+O588</f>
        <v>-56</v>
      </c>
      <c r="P601" s="22">
        <f t="shared" si="615"/>
        <v>-76</v>
      </c>
      <c r="Q601" s="104"/>
      <c r="R601" s="22">
        <f t="shared" si="606"/>
        <v>0</v>
      </c>
      <c r="S601" s="22">
        <f t="shared" si="606"/>
        <v>0</v>
      </c>
      <c r="T601" s="22">
        <f t="shared" si="606"/>
        <v>0</v>
      </c>
      <c r="U601" s="22">
        <f t="shared" si="606"/>
        <v>0</v>
      </c>
      <c r="V601" s="104"/>
      <c r="W601" s="22">
        <f t="shared" ref="W601" si="616">W575+W588</f>
        <v>0</v>
      </c>
      <c r="X601" s="22">
        <f t="shared" si="608"/>
        <v>0</v>
      </c>
      <c r="Y601" s="22">
        <f t="shared" si="608"/>
        <v>0</v>
      </c>
      <c r="Z601" s="22">
        <f t="shared" si="608"/>
        <v>0</v>
      </c>
      <c r="AA601" s="22">
        <f t="shared" si="608"/>
        <v>0</v>
      </c>
    </row>
    <row r="602" spans="1:27" x14ac:dyDescent="0.25">
      <c r="A602" s="16" t="s">
        <v>201</v>
      </c>
      <c r="B602" s="104"/>
      <c r="C602" s="104"/>
      <c r="D602" s="23">
        <f t="shared" ref="D602:L602" si="617">D592+SUM(D597:D601)</f>
        <v>7884</v>
      </c>
      <c r="E602" s="23">
        <f t="shared" si="617"/>
        <v>7851</v>
      </c>
      <c r="F602" s="23">
        <f t="shared" si="617"/>
        <v>7767</v>
      </c>
      <c r="G602" s="23">
        <f t="shared" si="617"/>
        <v>7722</v>
      </c>
      <c r="H602" s="23">
        <f t="shared" si="617"/>
        <v>7680</v>
      </c>
      <c r="I602" s="23">
        <f t="shared" si="617"/>
        <v>7601</v>
      </c>
      <c r="J602" s="23">
        <f t="shared" si="617"/>
        <v>7533</v>
      </c>
      <c r="K602" s="23">
        <f t="shared" si="617"/>
        <v>7435</v>
      </c>
      <c r="L602" s="23">
        <f t="shared" si="617"/>
        <v>7403</v>
      </c>
      <c r="M602" s="23">
        <f t="shared" ref="M602:N602" si="618">M592+SUM(M597:M601)</f>
        <v>7388</v>
      </c>
      <c r="N602" s="23">
        <f t="shared" si="618"/>
        <v>7317</v>
      </c>
      <c r="O602" s="23">
        <f t="shared" ref="O602:P602" si="619">O592+SUM(O597:O601)</f>
        <v>7277</v>
      </c>
      <c r="P602" s="23">
        <f t="shared" si="619"/>
        <v>7218</v>
      </c>
      <c r="Q602" s="104"/>
      <c r="R602" s="23">
        <f t="shared" ref="R602:U602" si="620">R592+SUM(R597:R601)</f>
        <v>7218</v>
      </c>
      <c r="S602" s="23">
        <f t="shared" si="620"/>
        <v>7218</v>
      </c>
      <c r="T602" s="23">
        <f t="shared" si="620"/>
        <v>7218</v>
      </c>
      <c r="U602" s="23">
        <f t="shared" si="620"/>
        <v>7218</v>
      </c>
      <c r="V602" s="104"/>
      <c r="W602" s="19">
        <f t="shared" ref="W602" si="621">W592+SUM(W597:W601)</f>
        <v>7218</v>
      </c>
      <c r="X602" s="23">
        <f t="shared" ref="X602:AA602" si="622">X592+SUM(X597:X601)</f>
        <v>7218</v>
      </c>
      <c r="Y602" s="23">
        <f t="shared" si="622"/>
        <v>7218</v>
      </c>
      <c r="Z602" s="23">
        <f t="shared" si="622"/>
        <v>7218</v>
      </c>
      <c r="AA602" s="23">
        <f t="shared" si="622"/>
        <v>7218</v>
      </c>
    </row>
    <row r="603" spans="1:27" x14ac:dyDescent="0.25">
      <c r="A603" s="15"/>
      <c r="D603" s="15"/>
      <c r="E603" s="15"/>
      <c r="F603" s="15"/>
      <c r="G603" s="15"/>
      <c r="H603" s="15"/>
      <c r="I603" s="15"/>
      <c r="J603" s="15"/>
      <c r="K603" s="15"/>
      <c r="L603" s="15"/>
      <c r="M603" s="15"/>
      <c r="N603" s="15"/>
      <c r="O603" s="15"/>
      <c r="P603" s="15"/>
      <c r="R603" s="15"/>
      <c r="S603" s="15"/>
      <c r="T603" s="15"/>
      <c r="U603" s="15"/>
      <c r="X603" s="15"/>
      <c r="Y603" s="15"/>
      <c r="Z603" s="15"/>
      <c r="AA603" s="15"/>
    </row>
    <row r="604" spans="1:27" x14ac:dyDescent="0.25">
      <c r="A604" s="39" t="s">
        <v>8754</v>
      </c>
      <c r="B604" s="40"/>
      <c r="C604" s="40"/>
      <c r="D604" s="40"/>
      <c r="E604" s="40"/>
      <c r="F604" s="40"/>
      <c r="G604" s="40"/>
      <c r="H604" s="40"/>
      <c r="I604" s="40"/>
      <c r="J604" s="40"/>
      <c r="K604" s="40"/>
      <c r="L604" s="40"/>
      <c r="M604" s="40"/>
      <c r="N604" s="40"/>
      <c r="O604" s="40"/>
      <c r="P604" s="40"/>
      <c r="Q604" s="41"/>
      <c r="R604" s="40"/>
      <c r="S604" s="40"/>
      <c r="T604" s="40"/>
      <c r="U604" s="40"/>
      <c r="V604" s="41"/>
      <c r="W604" s="41"/>
      <c r="X604" s="40"/>
      <c r="Y604" s="40"/>
      <c r="Z604" s="40"/>
      <c r="AA604" s="52"/>
    </row>
    <row r="605" spans="1:27" x14ac:dyDescent="0.25">
      <c r="A605" s="15"/>
      <c r="D605" s="15"/>
      <c r="E605" s="15"/>
      <c r="F605" s="15"/>
      <c r="G605" s="15"/>
      <c r="H605" s="15"/>
      <c r="I605" s="15"/>
      <c r="J605" s="15"/>
      <c r="K605" s="15"/>
      <c r="L605" s="15"/>
      <c r="M605" s="15"/>
      <c r="N605" s="15"/>
      <c r="O605" s="15"/>
      <c r="P605" s="15"/>
      <c r="R605" s="15"/>
      <c r="S605" s="15"/>
      <c r="T605" s="15"/>
      <c r="U605" s="15"/>
      <c r="X605" s="15"/>
      <c r="Y605" s="15"/>
      <c r="Z605" s="15"/>
      <c r="AA605" s="15"/>
    </row>
    <row r="606" spans="1:27" x14ac:dyDescent="0.25">
      <c r="A606" s="26" t="s">
        <v>194</v>
      </c>
      <c r="D606" s="20"/>
      <c r="E606" s="20"/>
      <c r="F606" s="20"/>
      <c r="G606" s="20"/>
      <c r="H606" s="20"/>
      <c r="I606" s="20"/>
      <c r="J606" s="20"/>
      <c r="K606" s="20"/>
      <c r="L606" s="20"/>
      <c r="M606" s="20"/>
      <c r="N606" s="20"/>
      <c r="O606" s="20"/>
      <c r="P606" s="20"/>
      <c r="R606" s="20"/>
      <c r="S606" s="20"/>
      <c r="T606" s="20"/>
      <c r="U606" s="20"/>
      <c r="W606" s="82"/>
      <c r="X606" s="20"/>
      <c r="Y606" s="20"/>
      <c r="Z606" s="20"/>
      <c r="AA606" s="20"/>
    </row>
    <row r="607" spans="1:27" x14ac:dyDescent="0.25">
      <c r="A607" s="15" t="s">
        <v>183</v>
      </c>
      <c r="D607" s="20">
        <v>120</v>
      </c>
      <c r="E607" s="20">
        <f>D619</f>
        <v>122</v>
      </c>
      <c r="F607" s="20">
        <f>E619</f>
        <v>122</v>
      </c>
      <c r="G607" s="20">
        <f>F619</f>
        <v>122</v>
      </c>
      <c r="H607" s="20">
        <v>122</v>
      </c>
      <c r="I607" s="20">
        <f t="shared" ref="I607:P607" si="623">H619</f>
        <v>122</v>
      </c>
      <c r="J607" s="20">
        <f t="shared" si="623"/>
        <v>122</v>
      </c>
      <c r="K607" s="20">
        <f t="shared" si="623"/>
        <v>123</v>
      </c>
      <c r="L607" s="20">
        <f t="shared" si="623"/>
        <v>123</v>
      </c>
      <c r="M607" s="20">
        <f t="shared" si="623"/>
        <v>124</v>
      </c>
      <c r="N607" s="20">
        <f t="shared" si="623"/>
        <v>125</v>
      </c>
      <c r="O607" s="20">
        <f t="shared" si="623"/>
        <v>126</v>
      </c>
      <c r="P607" s="20">
        <f t="shared" si="623"/>
        <v>126</v>
      </c>
      <c r="R607" s="20">
        <f>P619</f>
        <v>126</v>
      </c>
      <c r="S607" s="20">
        <f>R619</f>
        <v>126</v>
      </c>
      <c r="T607" s="20">
        <f t="shared" ref="T607:U607" si="624">S619</f>
        <v>126</v>
      </c>
      <c r="U607" s="20">
        <f t="shared" si="624"/>
        <v>126</v>
      </c>
      <c r="W607" s="20">
        <f>R607</f>
        <v>126</v>
      </c>
      <c r="X607" s="20">
        <f>W619</f>
        <v>126</v>
      </c>
      <c r="Y607" s="20">
        <f>X619</f>
        <v>126</v>
      </c>
      <c r="Z607" s="20">
        <f t="shared" ref="Z607:AA607" si="625">Y619</f>
        <v>126</v>
      </c>
      <c r="AA607" s="20">
        <f t="shared" si="625"/>
        <v>126</v>
      </c>
    </row>
    <row r="608" spans="1:27" x14ac:dyDescent="0.25">
      <c r="A608" s="15" t="s">
        <v>184</v>
      </c>
      <c r="D608" s="20">
        <v>2</v>
      </c>
      <c r="E608" s="20">
        <f>2-D608</f>
        <v>0</v>
      </c>
      <c r="F608" s="20">
        <f>2-E608-D608</f>
        <v>0</v>
      </c>
      <c r="G608" s="20">
        <f>2-F608-E608-D608</f>
        <v>0</v>
      </c>
      <c r="H608" s="20">
        <v>0</v>
      </c>
      <c r="I608" s="20">
        <v>0</v>
      </c>
      <c r="J608" s="20">
        <f>1-I608-H608</f>
        <v>1</v>
      </c>
      <c r="K608" s="20">
        <f>1-J608-I608-H608</f>
        <v>0</v>
      </c>
      <c r="L608" s="20">
        <v>1</v>
      </c>
      <c r="M608" s="20">
        <v>1</v>
      </c>
      <c r="N608" s="20">
        <v>1</v>
      </c>
      <c r="O608" s="20">
        <f>3-SUM(L608:N608)</f>
        <v>0</v>
      </c>
      <c r="P608" s="20">
        <v>0</v>
      </c>
      <c r="R608" s="102">
        <v>0</v>
      </c>
      <c r="S608" s="102">
        <v>0</v>
      </c>
      <c r="T608" s="102">
        <v>0</v>
      </c>
      <c r="U608" s="102">
        <v>0</v>
      </c>
      <c r="W608" s="246">
        <f t="shared" ref="W608:W610" si="626">SUM(R608:U608)</f>
        <v>0</v>
      </c>
      <c r="X608" s="102">
        <v>0</v>
      </c>
      <c r="Y608" s="102">
        <v>0</v>
      </c>
      <c r="Z608" s="102">
        <v>0</v>
      </c>
      <c r="AA608" s="102">
        <v>0</v>
      </c>
    </row>
    <row r="609" spans="1:27" x14ac:dyDescent="0.25">
      <c r="A609" s="15" t="s">
        <v>185</v>
      </c>
      <c r="D609" s="20">
        <v>0</v>
      </c>
      <c r="E609" s="20">
        <v>0</v>
      </c>
      <c r="F609" s="20">
        <v>0</v>
      </c>
      <c r="G609" s="20">
        <v>0</v>
      </c>
      <c r="H609" s="20">
        <v>0</v>
      </c>
      <c r="I609" s="20">
        <v>0</v>
      </c>
      <c r="J609" s="20">
        <v>0</v>
      </c>
      <c r="K609" s="20">
        <v>0</v>
      </c>
      <c r="L609" s="20">
        <v>0</v>
      </c>
      <c r="M609" s="20">
        <v>0</v>
      </c>
      <c r="N609" s="20">
        <v>0</v>
      </c>
      <c r="O609" s="20">
        <v>0</v>
      </c>
      <c r="P609" s="20">
        <v>0</v>
      </c>
      <c r="R609" s="102">
        <v>0</v>
      </c>
      <c r="S609" s="102">
        <v>0</v>
      </c>
      <c r="T609" s="102">
        <v>0</v>
      </c>
      <c r="U609" s="102">
        <v>0</v>
      </c>
      <c r="W609" s="246">
        <f t="shared" si="626"/>
        <v>0</v>
      </c>
      <c r="X609" s="102">
        <v>0</v>
      </c>
      <c r="Y609" s="102">
        <v>0</v>
      </c>
      <c r="Z609" s="102">
        <v>0</v>
      </c>
      <c r="AA609" s="102">
        <v>0</v>
      </c>
    </row>
    <row r="610" spans="1:27" x14ac:dyDescent="0.25">
      <c r="A610" s="15" t="s">
        <v>187</v>
      </c>
      <c r="D610" s="22">
        <v>0</v>
      </c>
      <c r="E610" s="22">
        <v>0</v>
      </c>
      <c r="F610" s="22">
        <v>0</v>
      </c>
      <c r="G610" s="22">
        <v>0</v>
      </c>
      <c r="H610" s="22">
        <v>0</v>
      </c>
      <c r="I610" s="22">
        <v>0</v>
      </c>
      <c r="J610" s="22">
        <v>0</v>
      </c>
      <c r="K610" s="22">
        <v>0</v>
      </c>
      <c r="L610" s="22">
        <v>0</v>
      </c>
      <c r="M610" s="22">
        <v>0</v>
      </c>
      <c r="N610" s="22">
        <v>0</v>
      </c>
      <c r="O610" s="22">
        <v>0</v>
      </c>
      <c r="P610" s="22">
        <v>0</v>
      </c>
      <c r="R610" s="103">
        <v>0</v>
      </c>
      <c r="S610" s="103">
        <v>0</v>
      </c>
      <c r="T610" s="103">
        <v>0</v>
      </c>
      <c r="U610" s="103">
        <v>0</v>
      </c>
      <c r="W610" s="247">
        <f t="shared" si="626"/>
        <v>0</v>
      </c>
      <c r="X610" s="103">
        <v>0</v>
      </c>
      <c r="Y610" s="103">
        <v>0</v>
      </c>
      <c r="Z610" s="103">
        <v>0</v>
      </c>
      <c r="AA610" s="103">
        <v>0</v>
      </c>
    </row>
    <row r="611" spans="1:27" x14ac:dyDescent="0.25">
      <c r="A611" s="9" t="s">
        <v>188</v>
      </c>
      <c r="D611" s="19">
        <f t="shared" ref="D611:AA611" si="627">SUM(D608:D610)</f>
        <v>2</v>
      </c>
      <c r="E611" s="19">
        <f t="shared" si="627"/>
        <v>0</v>
      </c>
      <c r="F611" s="19">
        <f t="shared" si="627"/>
        <v>0</v>
      </c>
      <c r="G611" s="19">
        <f t="shared" si="627"/>
        <v>0</v>
      </c>
      <c r="H611" s="19">
        <f t="shared" si="627"/>
        <v>0</v>
      </c>
      <c r="I611" s="19">
        <f t="shared" si="627"/>
        <v>0</v>
      </c>
      <c r="J611" s="23">
        <f t="shared" si="627"/>
        <v>1</v>
      </c>
      <c r="K611" s="19">
        <f t="shared" si="627"/>
        <v>0</v>
      </c>
      <c r="L611" s="19">
        <f t="shared" si="627"/>
        <v>1</v>
      </c>
      <c r="M611" s="19">
        <f t="shared" si="627"/>
        <v>1</v>
      </c>
      <c r="N611" s="19">
        <f t="shared" si="627"/>
        <v>1</v>
      </c>
      <c r="O611" s="19">
        <f t="shared" si="627"/>
        <v>0</v>
      </c>
      <c r="P611" s="19">
        <f t="shared" si="627"/>
        <v>0</v>
      </c>
      <c r="Q611" s="19"/>
      <c r="R611" s="19">
        <f t="shared" si="627"/>
        <v>0</v>
      </c>
      <c r="S611" s="19">
        <f t="shared" si="627"/>
        <v>0</v>
      </c>
      <c r="T611" s="19">
        <f t="shared" si="627"/>
        <v>0</v>
      </c>
      <c r="U611" s="19">
        <f t="shared" si="627"/>
        <v>0</v>
      </c>
      <c r="V611" s="19"/>
      <c r="W611" s="19">
        <f t="shared" si="627"/>
        <v>0</v>
      </c>
      <c r="X611" s="19">
        <f t="shared" si="627"/>
        <v>0</v>
      </c>
      <c r="Y611" s="19">
        <f t="shared" si="627"/>
        <v>0</v>
      </c>
      <c r="Z611" s="19">
        <f t="shared" si="627"/>
        <v>0</v>
      </c>
      <c r="AA611" s="19">
        <f t="shared" si="627"/>
        <v>0</v>
      </c>
    </row>
    <row r="612" spans="1:27" x14ac:dyDescent="0.25">
      <c r="A612" s="9"/>
      <c r="D612" s="19"/>
      <c r="E612" s="19"/>
      <c r="F612" s="19"/>
      <c r="G612" s="19"/>
      <c r="H612" s="19"/>
      <c r="I612" s="19"/>
      <c r="J612" s="23"/>
      <c r="K612" s="19"/>
      <c r="L612" s="19"/>
      <c r="M612" s="19"/>
      <c r="N612" s="19"/>
      <c r="O612" s="19"/>
      <c r="P612" s="19"/>
      <c r="R612" s="19"/>
      <c r="S612" s="19"/>
      <c r="T612" s="19"/>
      <c r="U612" s="19"/>
      <c r="W612" s="246"/>
      <c r="X612" s="19"/>
      <c r="Y612" s="19"/>
      <c r="Z612" s="19"/>
      <c r="AA612" s="19"/>
    </row>
    <row r="613" spans="1:27" x14ac:dyDescent="0.25">
      <c r="A613" s="15" t="s">
        <v>189</v>
      </c>
      <c r="D613" s="106">
        <v>0</v>
      </c>
      <c r="E613" s="106">
        <v>0</v>
      </c>
      <c r="F613" s="106">
        <v>0</v>
      </c>
      <c r="G613" s="106">
        <v>0</v>
      </c>
      <c r="H613" s="106">
        <v>0</v>
      </c>
      <c r="I613" s="106">
        <v>0</v>
      </c>
      <c r="J613" s="106">
        <v>0</v>
      </c>
      <c r="K613" s="106">
        <v>0</v>
      </c>
      <c r="L613" s="106">
        <v>0</v>
      </c>
      <c r="M613" s="106">
        <v>0</v>
      </c>
      <c r="N613" s="106">
        <v>0</v>
      </c>
      <c r="O613" s="106">
        <v>0</v>
      </c>
      <c r="P613" s="106">
        <v>0</v>
      </c>
      <c r="R613" s="107">
        <v>0</v>
      </c>
      <c r="S613" s="107">
        <v>0</v>
      </c>
      <c r="T613" s="107">
        <v>0</v>
      </c>
      <c r="U613" s="107">
        <v>0</v>
      </c>
      <c r="W613" s="246">
        <f t="shared" ref="W613:W618" si="628">SUM(R613:U613)</f>
        <v>0</v>
      </c>
      <c r="X613" s="107">
        <v>0</v>
      </c>
      <c r="Y613" s="107">
        <v>0</v>
      </c>
      <c r="Z613" s="107">
        <v>0</v>
      </c>
      <c r="AA613" s="107">
        <v>0</v>
      </c>
    </row>
    <row r="614" spans="1:27" x14ac:dyDescent="0.25">
      <c r="A614" s="15" t="s">
        <v>203</v>
      </c>
      <c r="D614" s="106">
        <v>0</v>
      </c>
      <c r="E614" s="106">
        <v>0</v>
      </c>
      <c r="F614" s="106">
        <v>0</v>
      </c>
      <c r="G614" s="106">
        <v>0</v>
      </c>
      <c r="H614" s="106">
        <v>0</v>
      </c>
      <c r="I614" s="106">
        <v>0</v>
      </c>
      <c r="J614" s="106">
        <v>0</v>
      </c>
      <c r="K614" s="106">
        <v>0</v>
      </c>
      <c r="L614" s="106">
        <v>0</v>
      </c>
      <c r="M614" s="106">
        <v>0</v>
      </c>
      <c r="N614" s="106">
        <v>0</v>
      </c>
      <c r="O614" s="106">
        <v>0</v>
      </c>
      <c r="P614" s="106">
        <v>0</v>
      </c>
      <c r="R614" s="107">
        <v>0</v>
      </c>
      <c r="S614" s="107">
        <v>0</v>
      </c>
      <c r="T614" s="107">
        <v>0</v>
      </c>
      <c r="U614" s="107">
        <v>0</v>
      </c>
      <c r="W614" s="246">
        <f t="shared" si="628"/>
        <v>0</v>
      </c>
      <c r="X614" s="107">
        <v>0</v>
      </c>
      <c r="Y614" s="107">
        <v>0</v>
      </c>
      <c r="Z614" s="107">
        <v>0</v>
      </c>
      <c r="AA614" s="107">
        <v>0</v>
      </c>
    </row>
    <row r="615" spans="1:27" x14ac:dyDescent="0.25">
      <c r="A615" s="15" t="s">
        <v>186</v>
      </c>
      <c r="D615" s="106">
        <v>0</v>
      </c>
      <c r="E615" s="106">
        <v>0</v>
      </c>
      <c r="F615" s="106">
        <v>0</v>
      </c>
      <c r="G615" s="106">
        <v>0</v>
      </c>
      <c r="H615" s="106">
        <v>0</v>
      </c>
      <c r="I615" s="106">
        <v>0</v>
      </c>
      <c r="J615" s="106">
        <v>0</v>
      </c>
      <c r="K615" s="106">
        <v>0</v>
      </c>
      <c r="L615" s="106">
        <v>0</v>
      </c>
      <c r="M615" s="106">
        <v>0</v>
      </c>
      <c r="N615" s="106">
        <v>0</v>
      </c>
      <c r="O615" s="106">
        <v>0</v>
      </c>
      <c r="P615" s="106">
        <v>0</v>
      </c>
      <c r="R615" s="107">
        <v>0</v>
      </c>
      <c r="S615" s="107">
        <v>0</v>
      </c>
      <c r="T615" s="107">
        <v>0</v>
      </c>
      <c r="U615" s="107">
        <v>0</v>
      </c>
      <c r="W615" s="246">
        <f t="shared" si="628"/>
        <v>0</v>
      </c>
      <c r="X615" s="107">
        <v>0</v>
      </c>
      <c r="Y615" s="107">
        <v>0</v>
      </c>
      <c r="Z615" s="107">
        <v>0</v>
      </c>
      <c r="AA615" s="107">
        <v>0</v>
      </c>
    </row>
    <row r="616" spans="1:27" x14ac:dyDescent="0.25">
      <c r="A616" s="15" t="s">
        <v>199</v>
      </c>
      <c r="D616" s="106">
        <v>0</v>
      </c>
      <c r="E616" s="106">
        <v>0</v>
      </c>
      <c r="F616" s="106">
        <v>0</v>
      </c>
      <c r="G616" s="106">
        <v>0</v>
      </c>
      <c r="H616" s="106">
        <v>0</v>
      </c>
      <c r="I616" s="106">
        <v>0</v>
      </c>
      <c r="J616" s="106">
        <v>0</v>
      </c>
      <c r="K616" s="106">
        <v>0</v>
      </c>
      <c r="L616" s="106">
        <v>0</v>
      </c>
      <c r="M616" s="106">
        <v>0</v>
      </c>
      <c r="N616" s="106">
        <v>0</v>
      </c>
      <c r="O616" s="106">
        <v>0</v>
      </c>
      <c r="P616" s="106">
        <v>0</v>
      </c>
      <c r="R616" s="107">
        <v>0</v>
      </c>
      <c r="S616" s="107">
        <v>0</v>
      </c>
      <c r="T616" s="107">
        <v>0</v>
      </c>
      <c r="U616" s="107">
        <v>0</v>
      </c>
      <c r="W616" s="246">
        <f t="shared" si="628"/>
        <v>0</v>
      </c>
      <c r="X616" s="107">
        <v>0</v>
      </c>
      <c r="Y616" s="107">
        <v>0</v>
      </c>
      <c r="Z616" s="107">
        <v>0</v>
      </c>
      <c r="AA616" s="107">
        <v>0</v>
      </c>
    </row>
    <row r="617" spans="1:27" x14ac:dyDescent="0.25">
      <c r="A617" s="15" t="s">
        <v>190</v>
      </c>
      <c r="D617" s="106">
        <v>0</v>
      </c>
      <c r="E617" s="106">
        <v>0</v>
      </c>
      <c r="F617" s="106">
        <v>0</v>
      </c>
      <c r="G617" s="106">
        <v>0</v>
      </c>
      <c r="H617" s="106">
        <v>0</v>
      </c>
      <c r="I617" s="106">
        <v>0</v>
      </c>
      <c r="J617" s="106">
        <v>0</v>
      </c>
      <c r="K617" s="106">
        <v>0</v>
      </c>
      <c r="L617" s="106">
        <v>0</v>
      </c>
      <c r="M617" s="106">
        <v>0</v>
      </c>
      <c r="N617" s="106">
        <v>0</v>
      </c>
      <c r="O617" s="106">
        <v>0</v>
      </c>
      <c r="P617" s="106">
        <v>0</v>
      </c>
      <c r="R617" s="107">
        <v>0</v>
      </c>
      <c r="S617" s="107">
        <v>0</v>
      </c>
      <c r="T617" s="107">
        <v>0</v>
      </c>
      <c r="U617" s="107">
        <v>0</v>
      </c>
      <c r="W617" s="246">
        <f t="shared" si="628"/>
        <v>0</v>
      </c>
      <c r="X617" s="107">
        <v>0</v>
      </c>
      <c r="Y617" s="107">
        <v>0</v>
      </c>
      <c r="Z617" s="107">
        <v>0</v>
      </c>
      <c r="AA617" s="107">
        <v>0</v>
      </c>
    </row>
    <row r="618" spans="1:27" x14ac:dyDescent="0.25">
      <c r="A618" s="15" t="s">
        <v>191</v>
      </c>
      <c r="D618" s="22">
        <v>0</v>
      </c>
      <c r="E618" s="22">
        <v>0</v>
      </c>
      <c r="F618" s="22">
        <v>0</v>
      </c>
      <c r="G618" s="22">
        <v>0</v>
      </c>
      <c r="H618" s="22">
        <v>0</v>
      </c>
      <c r="I618" s="22">
        <v>0</v>
      </c>
      <c r="J618" s="22">
        <v>0</v>
      </c>
      <c r="K618" s="22">
        <v>0</v>
      </c>
      <c r="L618" s="22">
        <v>0</v>
      </c>
      <c r="M618" s="22">
        <v>0</v>
      </c>
      <c r="N618" s="22">
        <v>0</v>
      </c>
      <c r="O618" s="22">
        <v>0</v>
      </c>
      <c r="P618" s="22">
        <v>0</v>
      </c>
      <c r="R618" s="103">
        <v>0</v>
      </c>
      <c r="S618" s="103">
        <v>0</v>
      </c>
      <c r="T618" s="103">
        <v>0</v>
      </c>
      <c r="U618" s="103">
        <v>0</v>
      </c>
      <c r="W618" s="247">
        <f t="shared" si="628"/>
        <v>0</v>
      </c>
      <c r="X618" s="103">
        <v>0</v>
      </c>
      <c r="Y618" s="103">
        <v>0</v>
      </c>
      <c r="Z618" s="103">
        <v>0</v>
      </c>
      <c r="AA618" s="103">
        <v>0</v>
      </c>
    </row>
    <row r="619" spans="1:27" x14ac:dyDescent="0.25">
      <c r="A619" s="9" t="s">
        <v>204</v>
      </c>
      <c r="D619" s="19">
        <f t="shared" ref="D619:AA619" si="629">D607+SUM(D611:D618)</f>
        <v>122</v>
      </c>
      <c r="E619" s="19">
        <f t="shared" si="629"/>
        <v>122</v>
      </c>
      <c r="F619" s="19">
        <f t="shared" si="629"/>
        <v>122</v>
      </c>
      <c r="G619" s="19">
        <f t="shared" si="629"/>
        <v>122</v>
      </c>
      <c r="H619" s="19">
        <f t="shared" si="629"/>
        <v>122</v>
      </c>
      <c r="I619" s="19">
        <f t="shared" si="629"/>
        <v>122</v>
      </c>
      <c r="J619" s="23">
        <f t="shared" si="629"/>
        <v>123</v>
      </c>
      <c r="K619" s="19">
        <f t="shared" si="629"/>
        <v>123</v>
      </c>
      <c r="L619" s="19">
        <f t="shared" si="629"/>
        <v>124</v>
      </c>
      <c r="M619" s="19">
        <f t="shared" si="629"/>
        <v>125</v>
      </c>
      <c r="N619" s="19">
        <f t="shared" si="629"/>
        <v>126</v>
      </c>
      <c r="O619" s="19">
        <f t="shared" si="629"/>
        <v>126</v>
      </c>
      <c r="P619" s="19">
        <f t="shared" si="629"/>
        <v>126</v>
      </c>
      <c r="Q619" s="19"/>
      <c r="R619" s="19">
        <f t="shared" si="629"/>
        <v>126</v>
      </c>
      <c r="S619" s="19">
        <f t="shared" si="629"/>
        <v>126</v>
      </c>
      <c r="T619" s="19">
        <f t="shared" si="629"/>
        <v>126</v>
      </c>
      <c r="U619" s="19">
        <f t="shared" si="629"/>
        <v>126</v>
      </c>
      <c r="V619" s="19"/>
      <c r="W619" s="19">
        <f t="shared" si="629"/>
        <v>126</v>
      </c>
      <c r="X619" s="19">
        <f t="shared" si="629"/>
        <v>126</v>
      </c>
      <c r="Y619" s="19">
        <f t="shared" si="629"/>
        <v>126</v>
      </c>
      <c r="Z619" s="19">
        <f t="shared" si="629"/>
        <v>126</v>
      </c>
      <c r="AA619" s="19">
        <f t="shared" si="629"/>
        <v>126</v>
      </c>
    </row>
    <row r="620" spans="1:27" x14ac:dyDescent="0.25">
      <c r="A620" s="15"/>
      <c r="D620" s="20"/>
      <c r="E620" s="20"/>
      <c r="F620" s="20"/>
      <c r="G620" s="20"/>
      <c r="H620" s="20"/>
      <c r="I620" s="20"/>
      <c r="J620" s="20"/>
      <c r="K620" s="20"/>
      <c r="L620" s="20"/>
      <c r="M620" s="20"/>
      <c r="N620" s="20"/>
      <c r="O620" s="20"/>
      <c r="P620" s="20"/>
      <c r="R620" s="20"/>
      <c r="S620" s="20"/>
      <c r="T620" s="20"/>
      <c r="U620" s="20"/>
      <c r="W620" s="82"/>
      <c r="X620" s="20"/>
      <c r="Y620" s="20"/>
      <c r="Z620" s="20"/>
      <c r="AA620" s="20"/>
    </row>
    <row r="621" spans="1:27" x14ac:dyDescent="0.25">
      <c r="A621" s="26" t="s">
        <v>132</v>
      </c>
      <c r="D621" s="20"/>
      <c r="E621" s="20"/>
      <c r="F621" s="20"/>
      <c r="G621" s="20"/>
      <c r="H621" s="20"/>
      <c r="I621" s="20"/>
      <c r="J621" s="20"/>
      <c r="K621" s="20"/>
      <c r="L621" s="20"/>
      <c r="M621" s="20"/>
      <c r="N621" s="20"/>
      <c r="O621" s="20"/>
      <c r="P621" s="20"/>
      <c r="R621" s="20"/>
      <c r="S621" s="20"/>
      <c r="T621" s="20"/>
      <c r="U621" s="20"/>
      <c r="W621" s="82"/>
      <c r="X621" s="20"/>
      <c r="Y621" s="20"/>
      <c r="Z621" s="20"/>
      <c r="AA621" s="20"/>
    </row>
    <row r="622" spans="1:27" x14ac:dyDescent="0.25">
      <c r="A622" s="15" t="s">
        <v>183</v>
      </c>
      <c r="D622" s="20">
        <v>987</v>
      </c>
      <c r="E622" s="20">
        <f>D635</f>
        <v>1005</v>
      </c>
      <c r="F622" s="20">
        <f>E635</f>
        <v>1023</v>
      </c>
      <c r="G622" s="20">
        <f>F635</f>
        <v>1032</v>
      </c>
      <c r="H622" s="20">
        <v>1040</v>
      </c>
      <c r="I622" s="20">
        <f t="shared" ref="I622:P622" si="630">H635</f>
        <v>1050</v>
      </c>
      <c r="J622" s="20">
        <f t="shared" si="630"/>
        <v>1071</v>
      </c>
      <c r="K622" s="20">
        <f t="shared" si="630"/>
        <v>1088</v>
      </c>
      <c r="L622" s="20">
        <f t="shared" si="630"/>
        <v>1116</v>
      </c>
      <c r="M622" s="20">
        <f t="shared" si="630"/>
        <v>1129</v>
      </c>
      <c r="N622" s="20">
        <f t="shared" si="630"/>
        <v>1150</v>
      </c>
      <c r="O622" s="20">
        <f t="shared" si="630"/>
        <v>1169</v>
      </c>
      <c r="P622" s="20">
        <f t="shared" si="630"/>
        <v>1213</v>
      </c>
      <c r="R622" s="20">
        <f>P635</f>
        <v>1253</v>
      </c>
      <c r="S622" s="20">
        <f>R635</f>
        <v>1253</v>
      </c>
      <c r="T622" s="20">
        <f t="shared" ref="T622:U622" si="631">S635</f>
        <v>1253</v>
      </c>
      <c r="U622" s="20">
        <f t="shared" si="631"/>
        <v>1253</v>
      </c>
      <c r="W622" s="20">
        <f>R622</f>
        <v>1253</v>
      </c>
      <c r="X622" s="20">
        <f>W635</f>
        <v>1253</v>
      </c>
      <c r="Y622" s="20">
        <f>X622</f>
        <v>1253</v>
      </c>
      <c r="Z622" s="20">
        <f t="shared" ref="Z622:AA622" si="632">Y622</f>
        <v>1253</v>
      </c>
      <c r="AA622" s="20">
        <f t="shared" si="632"/>
        <v>1253</v>
      </c>
    </row>
    <row r="623" spans="1:27" x14ac:dyDescent="0.25">
      <c r="A623" s="15" t="s">
        <v>184</v>
      </c>
      <c r="D623" s="20">
        <v>19</v>
      </c>
      <c r="E623" s="20">
        <f>37-D623</f>
        <v>18</v>
      </c>
      <c r="F623" s="20">
        <f>51-E623-D623</f>
        <v>14</v>
      </c>
      <c r="G623" s="20">
        <f>68-F623-E623-D623</f>
        <v>17</v>
      </c>
      <c r="H623" s="20">
        <v>17</v>
      </c>
      <c r="I623" s="20">
        <f>39-H623</f>
        <v>22</v>
      </c>
      <c r="J623" s="20">
        <f>55-I623-H623</f>
        <v>16</v>
      </c>
      <c r="K623" s="20">
        <f>83-J623-I623-H623</f>
        <v>28</v>
      </c>
      <c r="L623" s="20">
        <v>17</v>
      </c>
      <c r="M623" s="20">
        <v>22</v>
      </c>
      <c r="N623" s="20">
        <v>23</v>
      </c>
      <c r="O623" s="20">
        <f>99-SUM(L623:N623)</f>
        <v>37</v>
      </c>
      <c r="P623" s="20">
        <v>36</v>
      </c>
      <c r="R623" s="102">
        <v>0</v>
      </c>
      <c r="S623" s="102">
        <v>0</v>
      </c>
      <c r="T623" s="102">
        <v>0</v>
      </c>
      <c r="U623" s="102">
        <v>0</v>
      </c>
      <c r="W623" s="246">
        <f t="shared" ref="W623:W626" si="633">SUM(R623:U623)</f>
        <v>0</v>
      </c>
      <c r="X623" s="102">
        <v>0</v>
      </c>
      <c r="Y623" s="102">
        <v>0</v>
      </c>
      <c r="Z623" s="102">
        <v>0</v>
      </c>
      <c r="AA623" s="102">
        <v>0</v>
      </c>
    </row>
    <row r="624" spans="1:27" x14ac:dyDescent="0.25">
      <c r="A624" s="15" t="s">
        <v>185</v>
      </c>
      <c r="D624" s="20">
        <v>0</v>
      </c>
      <c r="E624" s="20">
        <v>0</v>
      </c>
      <c r="F624" s="20">
        <v>0</v>
      </c>
      <c r="G624" s="20">
        <v>0</v>
      </c>
      <c r="H624" s="21">
        <v>0</v>
      </c>
      <c r="I624" s="21">
        <f>0-H624</f>
        <v>0</v>
      </c>
      <c r="J624" s="20">
        <v>0</v>
      </c>
      <c r="K624" s="20">
        <v>0</v>
      </c>
      <c r="L624" s="20">
        <v>0</v>
      </c>
      <c r="M624" s="20">
        <v>0</v>
      </c>
      <c r="N624" s="20">
        <v>0</v>
      </c>
      <c r="O624" s="20">
        <v>0</v>
      </c>
      <c r="P624" s="20">
        <v>0</v>
      </c>
      <c r="R624" s="102">
        <v>0</v>
      </c>
      <c r="S624" s="102">
        <v>0</v>
      </c>
      <c r="T624" s="102">
        <v>0</v>
      </c>
      <c r="U624" s="102">
        <v>0</v>
      </c>
      <c r="W624" s="246">
        <f t="shared" si="633"/>
        <v>0</v>
      </c>
      <c r="X624" s="102">
        <v>0</v>
      </c>
      <c r="Y624" s="102">
        <v>0</v>
      </c>
      <c r="Z624" s="102">
        <v>0</v>
      </c>
      <c r="AA624" s="102">
        <v>0</v>
      </c>
    </row>
    <row r="625" spans="1:27" x14ac:dyDescent="0.25">
      <c r="A625" s="15" t="s">
        <v>205</v>
      </c>
      <c r="D625" s="20">
        <v>0</v>
      </c>
      <c r="E625" s="20">
        <v>0</v>
      </c>
      <c r="F625" s="20">
        <v>0</v>
      </c>
      <c r="G625" s="20">
        <v>0</v>
      </c>
      <c r="H625" s="21">
        <v>2</v>
      </c>
      <c r="I625" s="21">
        <f>0-H625</f>
        <v>-2</v>
      </c>
      <c r="J625" s="20">
        <f>8-I625-H625</f>
        <v>8</v>
      </c>
      <c r="K625" s="20">
        <f>14-J625-I625-H625</f>
        <v>6</v>
      </c>
      <c r="L625" s="20">
        <v>4</v>
      </c>
      <c r="M625" s="20">
        <v>2</v>
      </c>
      <c r="N625" s="20">
        <v>3</v>
      </c>
      <c r="O625" s="20">
        <f>22-SUM(L625:N625)</f>
        <v>13</v>
      </c>
      <c r="P625" s="20">
        <v>9</v>
      </c>
      <c r="R625" s="102">
        <v>0</v>
      </c>
      <c r="S625" s="102">
        <v>0</v>
      </c>
      <c r="T625" s="102">
        <v>0</v>
      </c>
      <c r="U625" s="102">
        <v>0</v>
      </c>
      <c r="W625" s="246">
        <f t="shared" si="633"/>
        <v>0</v>
      </c>
      <c r="X625" s="102">
        <v>0</v>
      </c>
      <c r="Y625" s="102">
        <v>0</v>
      </c>
      <c r="Z625" s="102">
        <v>0</v>
      </c>
      <c r="AA625" s="102">
        <v>0</v>
      </c>
    </row>
    <row r="626" spans="1:27" x14ac:dyDescent="0.25">
      <c r="A626" s="15" t="s">
        <v>187</v>
      </c>
      <c r="D626" s="22">
        <v>0</v>
      </c>
      <c r="E626" s="22">
        <f>-1-D626</f>
        <v>-1</v>
      </c>
      <c r="F626" s="22">
        <f>-2-E626-D626</f>
        <v>-1</v>
      </c>
      <c r="G626" s="22">
        <f>-3-F626-E626-D626</f>
        <v>-1</v>
      </c>
      <c r="H626" s="22">
        <v>-6</v>
      </c>
      <c r="I626" s="22">
        <f>-8-H626</f>
        <v>-2</v>
      </c>
      <c r="J626" s="22">
        <f>-9-I626-H626</f>
        <v>-1</v>
      </c>
      <c r="K626" s="22">
        <f>-13-J626-I626-H626</f>
        <v>-4</v>
      </c>
      <c r="L626" s="22">
        <v>-2</v>
      </c>
      <c r="M626" s="22">
        <v>0</v>
      </c>
      <c r="N626" s="22">
        <v>-1</v>
      </c>
      <c r="O626" s="22">
        <f>-5-SUM(L626:N626)</f>
        <v>-2</v>
      </c>
      <c r="P626" s="22">
        <v>-3</v>
      </c>
      <c r="R626" s="103">
        <v>0</v>
      </c>
      <c r="S626" s="103">
        <v>0</v>
      </c>
      <c r="T626" s="103">
        <v>0</v>
      </c>
      <c r="U626" s="103">
        <v>0</v>
      </c>
      <c r="W626" s="247">
        <f t="shared" si="633"/>
        <v>0</v>
      </c>
      <c r="X626" s="103">
        <v>0</v>
      </c>
      <c r="Y626" s="103">
        <v>0</v>
      </c>
      <c r="Z626" s="103">
        <v>0</v>
      </c>
      <c r="AA626" s="103">
        <v>0</v>
      </c>
    </row>
    <row r="627" spans="1:27" x14ac:dyDescent="0.25">
      <c r="A627" s="9" t="s">
        <v>188</v>
      </c>
      <c r="D627" s="19">
        <f t="shared" ref="D627:AA627" si="634">SUM(D623:D626)</f>
        <v>19</v>
      </c>
      <c r="E627" s="19">
        <f t="shared" si="634"/>
        <v>17</v>
      </c>
      <c r="F627" s="19">
        <f t="shared" si="634"/>
        <v>13</v>
      </c>
      <c r="G627" s="19">
        <f t="shared" si="634"/>
        <v>16</v>
      </c>
      <c r="H627" s="19">
        <f t="shared" si="634"/>
        <v>13</v>
      </c>
      <c r="I627" s="19">
        <f t="shared" si="634"/>
        <v>18</v>
      </c>
      <c r="J627" s="23">
        <f t="shared" si="634"/>
        <v>23</v>
      </c>
      <c r="K627" s="19">
        <f t="shared" si="634"/>
        <v>30</v>
      </c>
      <c r="L627" s="19">
        <f t="shared" si="634"/>
        <v>19</v>
      </c>
      <c r="M627" s="19">
        <f t="shared" si="634"/>
        <v>24</v>
      </c>
      <c r="N627" s="19">
        <f t="shared" si="634"/>
        <v>25</v>
      </c>
      <c r="O627" s="19">
        <f t="shared" si="634"/>
        <v>48</v>
      </c>
      <c r="P627" s="19">
        <f t="shared" si="634"/>
        <v>42</v>
      </c>
      <c r="Q627" s="19"/>
      <c r="R627" s="19">
        <f t="shared" si="634"/>
        <v>0</v>
      </c>
      <c r="S627" s="19">
        <f t="shared" si="634"/>
        <v>0</v>
      </c>
      <c r="T627" s="19">
        <f t="shared" si="634"/>
        <v>0</v>
      </c>
      <c r="U627" s="19">
        <f t="shared" si="634"/>
        <v>0</v>
      </c>
      <c r="V627" s="19"/>
      <c r="W627" s="19">
        <f t="shared" si="634"/>
        <v>0</v>
      </c>
      <c r="X627" s="19">
        <f t="shared" si="634"/>
        <v>0</v>
      </c>
      <c r="Y627" s="19">
        <f t="shared" si="634"/>
        <v>0</v>
      </c>
      <c r="Z627" s="19">
        <f t="shared" si="634"/>
        <v>0</v>
      </c>
      <c r="AA627" s="19">
        <f t="shared" si="634"/>
        <v>0</v>
      </c>
    </row>
    <row r="628" spans="1:27" x14ac:dyDescent="0.25">
      <c r="A628" s="9"/>
      <c r="D628" s="19"/>
      <c r="E628" s="19"/>
      <c r="F628" s="19"/>
      <c r="G628" s="19"/>
      <c r="H628" s="19"/>
      <c r="I628" s="19"/>
      <c r="J628" s="23"/>
      <c r="K628" s="19"/>
      <c r="L628" s="19"/>
      <c r="M628" s="19"/>
      <c r="N628" s="19"/>
      <c r="O628" s="19"/>
      <c r="P628" s="19"/>
      <c r="R628" s="19"/>
      <c r="S628" s="19"/>
      <c r="T628" s="19"/>
      <c r="U628" s="19"/>
      <c r="W628" s="82"/>
      <c r="X628" s="19"/>
      <c r="Y628" s="19"/>
      <c r="Z628" s="19"/>
      <c r="AA628" s="19"/>
    </row>
    <row r="629" spans="1:27" x14ac:dyDescent="0.25">
      <c r="A629" s="15" t="s">
        <v>189</v>
      </c>
      <c r="D629" s="106">
        <v>1</v>
      </c>
      <c r="E629" s="106">
        <f>5-D629</f>
        <v>4</v>
      </c>
      <c r="F629" s="106">
        <f>5-E629-D629</f>
        <v>0</v>
      </c>
      <c r="G629" s="106">
        <f>5-F629-E629-D629</f>
        <v>0</v>
      </c>
      <c r="H629" s="106">
        <v>2</v>
      </c>
      <c r="I629" s="106">
        <f>7-H629</f>
        <v>5</v>
      </c>
      <c r="J629" s="106">
        <f>1-I629-H629</f>
        <v>-6</v>
      </c>
      <c r="K629" s="106">
        <f>3-J629-I629-H629</f>
        <v>2</v>
      </c>
      <c r="L629" s="106">
        <v>1</v>
      </c>
      <c r="M629" s="600">
        <v>0</v>
      </c>
      <c r="N629" s="106">
        <v>0</v>
      </c>
      <c r="O629" s="600">
        <v>0</v>
      </c>
      <c r="P629" s="106">
        <v>1</v>
      </c>
      <c r="R629" s="107">
        <v>0</v>
      </c>
      <c r="S629" s="107">
        <v>0</v>
      </c>
      <c r="T629" s="107">
        <v>0</v>
      </c>
      <c r="U629" s="107">
        <v>0</v>
      </c>
      <c r="W629" s="246">
        <f t="shared" ref="W629:W634" si="635">SUM(R629:U629)</f>
        <v>0</v>
      </c>
      <c r="X629" s="107">
        <v>0</v>
      </c>
      <c r="Y629" s="107">
        <v>0</v>
      </c>
      <c r="Z629" s="107">
        <v>0</v>
      </c>
      <c r="AA629" s="107">
        <v>0</v>
      </c>
    </row>
    <row r="630" spans="1:27" x14ac:dyDescent="0.25">
      <c r="A630" s="15" t="s">
        <v>203</v>
      </c>
      <c r="D630" s="106">
        <v>0</v>
      </c>
      <c r="E630" s="106">
        <v>0</v>
      </c>
      <c r="F630" s="106">
        <v>0</v>
      </c>
      <c r="G630" s="106">
        <v>0</v>
      </c>
      <c r="H630" s="106">
        <v>0</v>
      </c>
      <c r="I630" s="106">
        <v>0</v>
      </c>
      <c r="J630" s="106">
        <v>0</v>
      </c>
      <c r="K630" s="106">
        <v>0</v>
      </c>
      <c r="L630" s="106">
        <v>0</v>
      </c>
      <c r="M630" s="106">
        <v>0</v>
      </c>
      <c r="N630" s="106">
        <v>0</v>
      </c>
      <c r="O630" s="106">
        <v>0</v>
      </c>
      <c r="P630" s="106">
        <v>0</v>
      </c>
      <c r="R630" s="107">
        <v>0</v>
      </c>
      <c r="S630" s="107">
        <v>0</v>
      </c>
      <c r="T630" s="107">
        <v>0</v>
      </c>
      <c r="U630" s="107">
        <v>0</v>
      </c>
      <c r="W630" s="246">
        <f t="shared" si="635"/>
        <v>0</v>
      </c>
      <c r="X630" s="107">
        <v>0</v>
      </c>
      <c r="Y630" s="107">
        <v>0</v>
      </c>
      <c r="Z630" s="107">
        <v>0</v>
      </c>
      <c r="AA630" s="107">
        <v>0</v>
      </c>
    </row>
    <row r="631" spans="1:27" x14ac:dyDescent="0.25">
      <c r="A631" s="15" t="s">
        <v>186</v>
      </c>
      <c r="D631" s="106">
        <v>0</v>
      </c>
      <c r="E631" s="106">
        <f>-2-D631</f>
        <v>-2</v>
      </c>
      <c r="F631" s="106">
        <f>-2-E631-D631</f>
        <v>0</v>
      </c>
      <c r="G631" s="106">
        <f>-5-F631-E631-D631</f>
        <v>-3</v>
      </c>
      <c r="H631" s="106">
        <v>0</v>
      </c>
      <c r="I631" s="106">
        <f>-1-H631</f>
        <v>-1</v>
      </c>
      <c r="J631" s="106">
        <f>-1-I631-H631</f>
        <v>0</v>
      </c>
      <c r="K631" s="106">
        <f>0-J631-I631-H631</f>
        <v>1</v>
      </c>
      <c r="L631" s="106">
        <v>-1</v>
      </c>
      <c r="M631" s="106">
        <v>0</v>
      </c>
      <c r="N631" s="106">
        <v>0</v>
      </c>
      <c r="O631" s="106">
        <v>0</v>
      </c>
      <c r="P631" s="106">
        <v>0</v>
      </c>
      <c r="R631" s="107">
        <v>0</v>
      </c>
      <c r="S631" s="107">
        <v>0</v>
      </c>
      <c r="T631" s="107">
        <v>0</v>
      </c>
      <c r="U631" s="107">
        <v>0</v>
      </c>
      <c r="W631" s="246">
        <f t="shared" si="635"/>
        <v>0</v>
      </c>
      <c r="X631" s="107">
        <v>0</v>
      </c>
      <c r="Y631" s="107">
        <v>0</v>
      </c>
      <c r="Z631" s="107">
        <v>0</v>
      </c>
      <c r="AA631" s="107">
        <v>0</v>
      </c>
    </row>
    <row r="632" spans="1:27" x14ac:dyDescent="0.25">
      <c r="A632" s="15" t="s">
        <v>199</v>
      </c>
      <c r="D632" s="106">
        <v>0</v>
      </c>
      <c r="E632" s="106">
        <v>0</v>
      </c>
      <c r="F632" s="106">
        <v>0</v>
      </c>
      <c r="G632" s="106">
        <v>0</v>
      </c>
      <c r="H632" s="106">
        <v>0</v>
      </c>
      <c r="I632" s="106">
        <v>0</v>
      </c>
      <c r="J632" s="106">
        <v>0</v>
      </c>
      <c r="K632" s="106">
        <v>0</v>
      </c>
      <c r="L632" s="106">
        <v>0</v>
      </c>
      <c r="M632" s="106">
        <v>0</v>
      </c>
      <c r="N632" s="106">
        <v>0</v>
      </c>
      <c r="O632" s="106">
        <v>0</v>
      </c>
      <c r="P632" s="106">
        <v>0</v>
      </c>
      <c r="R632" s="107">
        <v>0</v>
      </c>
      <c r="S632" s="107">
        <v>0</v>
      </c>
      <c r="T632" s="107">
        <v>0</v>
      </c>
      <c r="U632" s="107">
        <v>0</v>
      </c>
      <c r="W632" s="246">
        <f t="shared" si="635"/>
        <v>0</v>
      </c>
      <c r="X632" s="107">
        <v>0</v>
      </c>
      <c r="Y632" s="107">
        <v>0</v>
      </c>
      <c r="Z632" s="107">
        <v>0</v>
      </c>
      <c r="AA632" s="107">
        <v>0</v>
      </c>
    </row>
    <row r="633" spans="1:27" x14ac:dyDescent="0.25">
      <c r="A633" s="15" t="s">
        <v>190</v>
      </c>
      <c r="D633" s="106">
        <v>0</v>
      </c>
      <c r="E633" s="106">
        <v>0</v>
      </c>
      <c r="F633" s="106">
        <v>0</v>
      </c>
      <c r="G633" s="106">
        <v>0</v>
      </c>
      <c r="H633" s="106">
        <v>0</v>
      </c>
      <c r="I633" s="106">
        <v>0</v>
      </c>
      <c r="J633" s="106">
        <v>0</v>
      </c>
      <c r="K633" s="106">
        <v>0</v>
      </c>
      <c r="L633" s="106">
        <v>0</v>
      </c>
      <c r="M633" s="106">
        <v>0</v>
      </c>
      <c r="N633" s="106">
        <v>0</v>
      </c>
      <c r="O633" s="106">
        <v>0</v>
      </c>
      <c r="P633" s="106">
        <v>0</v>
      </c>
      <c r="R633" s="107">
        <v>0</v>
      </c>
      <c r="S633" s="107">
        <v>0</v>
      </c>
      <c r="T633" s="107">
        <v>0</v>
      </c>
      <c r="U633" s="107">
        <v>0</v>
      </c>
      <c r="W633" s="246">
        <f t="shared" si="635"/>
        <v>0</v>
      </c>
      <c r="X633" s="107">
        <v>0</v>
      </c>
      <c r="Y633" s="107">
        <v>0</v>
      </c>
      <c r="Z633" s="107">
        <v>0</v>
      </c>
      <c r="AA633" s="107">
        <v>0</v>
      </c>
    </row>
    <row r="634" spans="1:27" x14ac:dyDescent="0.25">
      <c r="A634" s="15" t="s">
        <v>191</v>
      </c>
      <c r="D634" s="22">
        <v>-2</v>
      </c>
      <c r="E634" s="22">
        <f>-3-D634</f>
        <v>-1</v>
      </c>
      <c r="F634" s="22">
        <f>-7-E634-D634</f>
        <v>-4</v>
      </c>
      <c r="G634" s="22">
        <f>-12-F634-E634-D634</f>
        <v>-5</v>
      </c>
      <c r="H634" s="22">
        <v>-5</v>
      </c>
      <c r="I634" s="22">
        <f>-6-H634</f>
        <v>-1</v>
      </c>
      <c r="J634" s="22">
        <f>-6-I634-H634</f>
        <v>0</v>
      </c>
      <c r="K634" s="22">
        <f>-11-J634-I634-H634</f>
        <v>-5</v>
      </c>
      <c r="L634" s="22">
        <v>-6</v>
      </c>
      <c r="M634" s="22">
        <v>-3</v>
      </c>
      <c r="N634" s="22">
        <v>-6</v>
      </c>
      <c r="O634" s="22">
        <f>-19-SUM(L634:N634)</f>
        <v>-4</v>
      </c>
      <c r="P634" s="22">
        <v>-3</v>
      </c>
      <c r="R634" s="103">
        <v>0</v>
      </c>
      <c r="S634" s="103">
        <v>0</v>
      </c>
      <c r="T634" s="103">
        <v>0</v>
      </c>
      <c r="U634" s="103">
        <v>0</v>
      </c>
      <c r="W634" s="247">
        <f t="shared" si="635"/>
        <v>0</v>
      </c>
      <c r="X634" s="103">
        <v>0</v>
      </c>
      <c r="Y634" s="103">
        <v>0</v>
      </c>
      <c r="Z634" s="103">
        <v>0</v>
      </c>
      <c r="AA634" s="103">
        <v>0</v>
      </c>
    </row>
    <row r="635" spans="1:27" x14ac:dyDescent="0.25">
      <c r="A635" s="9" t="s">
        <v>206</v>
      </c>
      <c r="D635" s="19">
        <f t="shared" ref="D635:AA635" si="636">D622+SUM(D627:D634)</f>
        <v>1005</v>
      </c>
      <c r="E635" s="19">
        <f t="shared" si="636"/>
        <v>1023</v>
      </c>
      <c r="F635" s="19">
        <f t="shared" si="636"/>
        <v>1032</v>
      </c>
      <c r="G635" s="19">
        <f t="shared" si="636"/>
        <v>1040</v>
      </c>
      <c r="H635" s="19">
        <f t="shared" si="636"/>
        <v>1050</v>
      </c>
      <c r="I635" s="19">
        <f t="shared" si="636"/>
        <v>1071</v>
      </c>
      <c r="J635" s="23">
        <f t="shared" si="636"/>
        <v>1088</v>
      </c>
      <c r="K635" s="19">
        <f t="shared" si="636"/>
        <v>1116</v>
      </c>
      <c r="L635" s="19">
        <f t="shared" si="636"/>
        <v>1129</v>
      </c>
      <c r="M635" s="19">
        <f t="shared" si="636"/>
        <v>1150</v>
      </c>
      <c r="N635" s="19">
        <f t="shared" si="636"/>
        <v>1169</v>
      </c>
      <c r="O635" s="19">
        <f t="shared" si="636"/>
        <v>1213</v>
      </c>
      <c r="P635" s="19">
        <f t="shared" si="636"/>
        <v>1253</v>
      </c>
      <c r="Q635" s="19"/>
      <c r="R635" s="19">
        <f t="shared" si="636"/>
        <v>1253</v>
      </c>
      <c r="S635" s="19">
        <f t="shared" si="636"/>
        <v>1253</v>
      </c>
      <c r="T635" s="19">
        <f t="shared" si="636"/>
        <v>1253</v>
      </c>
      <c r="U635" s="19">
        <f t="shared" si="636"/>
        <v>1253</v>
      </c>
      <c r="V635" s="19"/>
      <c r="W635" s="19">
        <f t="shared" si="636"/>
        <v>1253</v>
      </c>
      <c r="X635" s="19">
        <f t="shared" si="636"/>
        <v>1253</v>
      </c>
      <c r="Y635" s="19">
        <f t="shared" si="636"/>
        <v>1253</v>
      </c>
      <c r="Z635" s="19">
        <f t="shared" si="636"/>
        <v>1253</v>
      </c>
      <c r="AA635" s="19">
        <f t="shared" si="636"/>
        <v>1253</v>
      </c>
    </row>
    <row r="636" spans="1:27" x14ac:dyDescent="0.25">
      <c r="A636" s="15"/>
      <c r="D636" s="20"/>
      <c r="E636" s="20"/>
      <c r="F636" s="20"/>
      <c r="G636" s="20"/>
      <c r="H636" s="20"/>
      <c r="I636" s="20"/>
      <c r="J636" s="20"/>
      <c r="K636" s="20"/>
      <c r="L636" s="20"/>
      <c r="M636" s="20"/>
      <c r="N636" s="20"/>
      <c r="O636" s="20"/>
      <c r="P636" s="20"/>
      <c r="R636" s="20"/>
      <c r="S636" s="20"/>
      <c r="T636" s="20"/>
      <c r="U636" s="20"/>
      <c r="W636" s="82"/>
      <c r="X636" s="20"/>
      <c r="Y636" s="20"/>
      <c r="Z636" s="20"/>
      <c r="AA636" s="20"/>
    </row>
    <row r="637" spans="1:27" x14ac:dyDescent="0.25">
      <c r="A637" s="26" t="s">
        <v>133</v>
      </c>
      <c r="D637" s="20"/>
      <c r="E637" s="20"/>
      <c r="F637" s="20"/>
      <c r="G637" s="20"/>
      <c r="H637" s="20"/>
      <c r="I637" s="20"/>
      <c r="J637" s="20"/>
      <c r="K637" s="20"/>
      <c r="L637" s="20"/>
      <c r="M637" s="20"/>
      <c r="N637" s="20"/>
      <c r="O637" s="20"/>
      <c r="P637" s="20"/>
      <c r="R637" s="20"/>
      <c r="S637" s="20"/>
      <c r="T637" s="20"/>
      <c r="U637" s="20"/>
      <c r="W637" s="82"/>
      <c r="X637" s="20"/>
      <c r="Y637" s="20"/>
      <c r="Z637" s="20"/>
      <c r="AA637" s="20"/>
    </row>
    <row r="638" spans="1:27" x14ac:dyDescent="0.25">
      <c r="A638" s="15" t="s">
        <v>183</v>
      </c>
      <c r="D638" s="20">
        <v>829</v>
      </c>
      <c r="E638" s="20">
        <f>D651</f>
        <v>856</v>
      </c>
      <c r="F638" s="20">
        <f>E651</f>
        <v>862</v>
      </c>
      <c r="G638" s="20">
        <f>F651</f>
        <v>861</v>
      </c>
      <c r="H638" s="20">
        <v>854</v>
      </c>
      <c r="I638" s="20">
        <f t="shared" ref="I638:P638" si="637">H651</f>
        <v>851</v>
      </c>
      <c r="J638" s="20">
        <f t="shared" si="637"/>
        <v>846</v>
      </c>
      <c r="K638" s="20">
        <f t="shared" si="637"/>
        <v>849</v>
      </c>
      <c r="L638" s="20">
        <f t="shared" si="637"/>
        <v>843</v>
      </c>
      <c r="M638" s="20">
        <f t="shared" si="637"/>
        <v>850</v>
      </c>
      <c r="N638" s="20">
        <f t="shared" si="637"/>
        <v>848</v>
      </c>
      <c r="O638" s="20">
        <f t="shared" si="637"/>
        <v>848</v>
      </c>
      <c r="P638" s="20">
        <f t="shared" si="637"/>
        <v>840</v>
      </c>
      <c r="R638" s="20">
        <f>P651</f>
        <v>835</v>
      </c>
      <c r="S638" s="20">
        <f>R651</f>
        <v>835</v>
      </c>
      <c r="T638" s="20">
        <f t="shared" ref="T638:U638" si="638">S651</f>
        <v>835</v>
      </c>
      <c r="U638" s="20">
        <f t="shared" si="638"/>
        <v>835</v>
      </c>
      <c r="W638" s="246">
        <f>R638</f>
        <v>835</v>
      </c>
      <c r="X638" s="20">
        <f>W651</f>
        <v>835</v>
      </c>
      <c r="Y638" s="20">
        <f>X638</f>
        <v>835</v>
      </c>
      <c r="Z638" s="20">
        <f t="shared" ref="Z638:AA638" si="639">Y638</f>
        <v>835</v>
      </c>
      <c r="AA638" s="20">
        <f t="shared" si="639"/>
        <v>835</v>
      </c>
    </row>
    <row r="639" spans="1:27" x14ac:dyDescent="0.25">
      <c r="A639" s="15" t="s">
        <v>184</v>
      </c>
      <c r="D639" s="20">
        <v>8</v>
      </c>
      <c r="E639" s="20">
        <f>19-D639</f>
        <v>11</v>
      </c>
      <c r="F639" s="20">
        <f>31-E639-D639</f>
        <v>12</v>
      </c>
      <c r="G639" s="20">
        <f>40-F639-E639-D639</f>
        <v>9</v>
      </c>
      <c r="H639" s="20">
        <v>14</v>
      </c>
      <c r="I639" s="20">
        <f>29-H639</f>
        <v>15</v>
      </c>
      <c r="J639" s="20">
        <f>44-I639-H639</f>
        <v>15</v>
      </c>
      <c r="K639" s="20">
        <f>55-J639-I639-H639</f>
        <v>11</v>
      </c>
      <c r="L639" s="20">
        <v>13</v>
      </c>
      <c r="M639" s="20">
        <v>10</v>
      </c>
      <c r="N639" s="20">
        <v>10</v>
      </c>
      <c r="O639" s="20">
        <f>42-SUM(L639:N639)</f>
        <v>9</v>
      </c>
      <c r="P639" s="20">
        <v>5</v>
      </c>
      <c r="R639" s="102">
        <v>0</v>
      </c>
      <c r="S639" s="102">
        <v>0</v>
      </c>
      <c r="T639" s="102">
        <v>0</v>
      </c>
      <c r="U639" s="102">
        <v>0</v>
      </c>
      <c r="W639" s="246">
        <f t="shared" ref="W639:W642" si="640">SUM(R639:U639)</f>
        <v>0</v>
      </c>
      <c r="X639" s="102">
        <v>0</v>
      </c>
      <c r="Y639" s="102">
        <v>0</v>
      </c>
      <c r="Z639" s="102">
        <v>0</v>
      </c>
      <c r="AA639" s="102">
        <v>0</v>
      </c>
    </row>
    <row r="640" spans="1:27" x14ac:dyDescent="0.25">
      <c r="A640" s="15" t="s">
        <v>185</v>
      </c>
      <c r="D640" s="20">
        <v>30</v>
      </c>
      <c r="E640" s="20">
        <f>31-D640</f>
        <v>1</v>
      </c>
      <c r="F640" s="20">
        <f>31-E640-D640</f>
        <v>0</v>
      </c>
      <c r="G640" s="20">
        <f>31-F640-E640-D640</f>
        <v>0</v>
      </c>
      <c r="H640" s="20">
        <v>0</v>
      </c>
      <c r="I640" s="20">
        <v>0</v>
      </c>
      <c r="J640" s="20">
        <v>0</v>
      </c>
      <c r="K640" s="20">
        <v>0</v>
      </c>
      <c r="L640" s="20">
        <v>0</v>
      </c>
      <c r="M640" s="20">
        <v>0</v>
      </c>
      <c r="N640" s="20">
        <v>0</v>
      </c>
      <c r="O640" s="20">
        <v>0</v>
      </c>
      <c r="P640" s="20">
        <v>0</v>
      </c>
      <c r="R640" s="102">
        <v>0</v>
      </c>
      <c r="S640" s="102">
        <v>0</v>
      </c>
      <c r="T640" s="102">
        <v>0</v>
      </c>
      <c r="U640" s="102">
        <v>0</v>
      </c>
      <c r="W640" s="246">
        <f t="shared" si="640"/>
        <v>0</v>
      </c>
      <c r="X640" s="102">
        <v>0</v>
      </c>
      <c r="Y640" s="102">
        <v>0</v>
      </c>
      <c r="Z640" s="102">
        <v>0</v>
      </c>
      <c r="AA640" s="102">
        <v>0</v>
      </c>
    </row>
    <row r="641" spans="1:27" x14ac:dyDescent="0.25">
      <c r="A641" s="15" t="s">
        <v>205</v>
      </c>
      <c r="D641" s="20">
        <v>0</v>
      </c>
      <c r="E641" s="20">
        <f>5-D641</f>
        <v>5</v>
      </c>
      <c r="F641" s="20">
        <f>7-E641-D641</f>
        <v>2</v>
      </c>
      <c r="G641" s="20">
        <f>7-F641-E641-D641</f>
        <v>0</v>
      </c>
      <c r="H641" s="21">
        <v>1</v>
      </c>
      <c r="I641" s="21">
        <f>0-H641</f>
        <v>-1</v>
      </c>
      <c r="J641" s="21">
        <f>1-I641-H641</f>
        <v>1</v>
      </c>
      <c r="K641" s="21">
        <f>3-J641-I641-H641</f>
        <v>2</v>
      </c>
      <c r="L641" s="21">
        <v>2</v>
      </c>
      <c r="M641" s="21">
        <v>1</v>
      </c>
      <c r="N641" s="21">
        <v>3</v>
      </c>
      <c r="O641" s="21">
        <v>0</v>
      </c>
      <c r="P641" s="21">
        <v>1</v>
      </c>
      <c r="R641" s="102">
        <v>0</v>
      </c>
      <c r="S641" s="102">
        <v>0</v>
      </c>
      <c r="T641" s="102">
        <v>0</v>
      </c>
      <c r="U641" s="102">
        <v>0</v>
      </c>
      <c r="W641" s="246">
        <f t="shared" si="640"/>
        <v>0</v>
      </c>
      <c r="X641" s="102">
        <v>0</v>
      </c>
      <c r="Y641" s="102">
        <v>0</v>
      </c>
      <c r="Z641" s="102">
        <v>0</v>
      </c>
      <c r="AA641" s="102">
        <v>0</v>
      </c>
    </row>
    <row r="642" spans="1:27" x14ac:dyDescent="0.25">
      <c r="A642" s="15" t="s">
        <v>187</v>
      </c>
      <c r="D642" s="22">
        <v>-2</v>
      </c>
      <c r="E642" s="22">
        <f>-2-D642</f>
        <v>0</v>
      </c>
      <c r="F642" s="22">
        <f>-2-E642-D642</f>
        <v>0</v>
      </c>
      <c r="G642" s="22">
        <f>-3-F642-E642-D642</f>
        <v>-1</v>
      </c>
      <c r="H642" s="22">
        <v>-3</v>
      </c>
      <c r="I642" s="22">
        <f>-5-H642</f>
        <v>-2</v>
      </c>
      <c r="J642" s="22">
        <f>-7-I642-H642</f>
        <v>-2</v>
      </c>
      <c r="K642" s="22">
        <f>-8-J642-I642-H642</f>
        <v>-1</v>
      </c>
      <c r="L642" s="22">
        <v>-2</v>
      </c>
      <c r="M642" s="22">
        <v>-2</v>
      </c>
      <c r="N642" s="22">
        <v>-1</v>
      </c>
      <c r="O642" s="22">
        <v>0</v>
      </c>
      <c r="P642" s="22">
        <v>-1</v>
      </c>
      <c r="R642" s="103">
        <v>0</v>
      </c>
      <c r="S642" s="103">
        <v>0</v>
      </c>
      <c r="T642" s="103">
        <v>0</v>
      </c>
      <c r="U642" s="103">
        <v>0</v>
      </c>
      <c r="W642" s="247">
        <f t="shared" si="640"/>
        <v>0</v>
      </c>
      <c r="X642" s="103">
        <v>0</v>
      </c>
      <c r="Y642" s="103">
        <v>0</v>
      </c>
      <c r="Z642" s="103">
        <v>0</v>
      </c>
      <c r="AA642" s="103">
        <v>0</v>
      </c>
    </row>
    <row r="643" spans="1:27" x14ac:dyDescent="0.25">
      <c r="A643" s="9" t="s">
        <v>188</v>
      </c>
      <c r="D643" s="19">
        <f t="shared" ref="D643:P643" si="641">SUM(D639:D642)</f>
        <v>36</v>
      </c>
      <c r="E643" s="19">
        <f t="shared" si="641"/>
        <v>17</v>
      </c>
      <c r="F643" s="19">
        <f t="shared" si="641"/>
        <v>14</v>
      </c>
      <c r="G643" s="19">
        <f t="shared" si="641"/>
        <v>8</v>
      </c>
      <c r="H643" s="19">
        <f t="shared" si="641"/>
        <v>12</v>
      </c>
      <c r="I643" s="19">
        <f t="shared" si="641"/>
        <v>12</v>
      </c>
      <c r="J643" s="23">
        <f t="shared" si="641"/>
        <v>14</v>
      </c>
      <c r="K643" s="19">
        <f t="shared" si="641"/>
        <v>12</v>
      </c>
      <c r="L643" s="19">
        <f t="shared" si="641"/>
        <v>13</v>
      </c>
      <c r="M643" s="19">
        <f t="shared" si="641"/>
        <v>9</v>
      </c>
      <c r="N643" s="19">
        <f t="shared" si="641"/>
        <v>12</v>
      </c>
      <c r="O643" s="19">
        <f t="shared" si="641"/>
        <v>9</v>
      </c>
      <c r="P643" s="19">
        <f t="shared" si="641"/>
        <v>5</v>
      </c>
      <c r="Q643" s="19"/>
      <c r="R643" s="19">
        <f t="shared" ref="R643:U643" si="642">SUM(R639:R642)</f>
        <v>0</v>
      </c>
      <c r="S643" s="19">
        <f t="shared" si="642"/>
        <v>0</v>
      </c>
      <c r="T643" s="19">
        <f t="shared" si="642"/>
        <v>0</v>
      </c>
      <c r="U643" s="19">
        <f t="shared" si="642"/>
        <v>0</v>
      </c>
      <c r="V643" s="19"/>
      <c r="W643" s="19">
        <f t="shared" ref="W643:AA643" si="643">SUM(W639:W642)</f>
        <v>0</v>
      </c>
      <c r="X643" s="19">
        <f t="shared" si="643"/>
        <v>0</v>
      </c>
      <c r="Y643" s="19">
        <f t="shared" si="643"/>
        <v>0</v>
      </c>
      <c r="Z643" s="19">
        <f t="shared" si="643"/>
        <v>0</v>
      </c>
      <c r="AA643" s="19">
        <f t="shared" si="643"/>
        <v>0</v>
      </c>
    </row>
    <row r="644" spans="1:27" x14ac:dyDescent="0.25">
      <c r="A644" s="9"/>
      <c r="D644" s="19"/>
      <c r="E644" s="19"/>
      <c r="F644" s="19"/>
      <c r="G644" s="19"/>
      <c r="H644" s="19"/>
      <c r="I644" s="19"/>
      <c r="J644" s="23"/>
      <c r="K644" s="19"/>
      <c r="L644" s="19"/>
      <c r="M644" s="19"/>
      <c r="N644" s="19"/>
      <c r="O644" s="19"/>
      <c r="P644" s="19"/>
      <c r="R644" s="19"/>
      <c r="S644" s="19"/>
      <c r="T644" s="19"/>
      <c r="U644" s="19"/>
      <c r="W644" s="82"/>
      <c r="X644" s="19"/>
      <c r="Y644" s="19"/>
      <c r="Z644" s="19"/>
      <c r="AA644" s="19"/>
    </row>
    <row r="645" spans="1:27" x14ac:dyDescent="0.25">
      <c r="A645" s="15" t="s">
        <v>189</v>
      </c>
      <c r="D645" s="106">
        <v>0</v>
      </c>
      <c r="E645" s="106">
        <f>-5-D645</f>
        <v>-5</v>
      </c>
      <c r="F645" s="106">
        <f>-5-E645-D645</f>
        <v>0</v>
      </c>
      <c r="G645" s="106">
        <f>-5-F645-E645-D645</f>
        <v>0</v>
      </c>
      <c r="H645" s="106">
        <v>-2</v>
      </c>
      <c r="I645" s="106">
        <f>-1-H645</f>
        <v>1</v>
      </c>
      <c r="J645" s="106">
        <f>-1-I645-H645</f>
        <v>0</v>
      </c>
      <c r="K645" s="106">
        <f>-3-J645-I645-H645</f>
        <v>-2</v>
      </c>
      <c r="L645" s="106">
        <v>-1</v>
      </c>
      <c r="M645" s="600">
        <v>0</v>
      </c>
      <c r="N645" s="106">
        <v>0</v>
      </c>
      <c r="O645" s="600">
        <v>0</v>
      </c>
      <c r="P645" s="106">
        <v>-1</v>
      </c>
      <c r="R645" s="107">
        <v>0</v>
      </c>
      <c r="S645" s="107">
        <v>0</v>
      </c>
      <c r="T645" s="107">
        <v>0</v>
      </c>
      <c r="U645" s="107">
        <v>0</v>
      </c>
      <c r="W645" s="246">
        <f t="shared" ref="W645:W650" si="644">SUM(R645:U645)</f>
        <v>0</v>
      </c>
      <c r="X645" s="107">
        <v>0</v>
      </c>
      <c r="Y645" s="107">
        <v>0</v>
      </c>
      <c r="Z645" s="107">
        <v>0</v>
      </c>
      <c r="AA645" s="107">
        <v>0</v>
      </c>
    </row>
    <row r="646" spans="1:27" x14ac:dyDescent="0.25">
      <c r="A646" s="15" t="s">
        <v>203</v>
      </c>
      <c r="D646" s="106">
        <v>0</v>
      </c>
      <c r="E646" s="106">
        <v>0</v>
      </c>
      <c r="F646" s="106">
        <v>0</v>
      </c>
      <c r="G646" s="106">
        <v>0</v>
      </c>
      <c r="H646" s="106">
        <v>0</v>
      </c>
      <c r="I646" s="106">
        <v>0</v>
      </c>
      <c r="J646" s="106">
        <v>0</v>
      </c>
      <c r="K646" s="106">
        <v>0</v>
      </c>
      <c r="L646" s="106">
        <v>0</v>
      </c>
      <c r="M646" s="106">
        <v>0</v>
      </c>
      <c r="N646" s="106">
        <v>0</v>
      </c>
      <c r="O646" s="106">
        <v>0</v>
      </c>
      <c r="P646" s="106">
        <v>0</v>
      </c>
      <c r="R646" s="107">
        <v>0</v>
      </c>
      <c r="S646" s="107">
        <v>0</v>
      </c>
      <c r="T646" s="107">
        <v>0</v>
      </c>
      <c r="U646" s="107">
        <v>0</v>
      </c>
      <c r="W646" s="246">
        <f t="shared" si="644"/>
        <v>0</v>
      </c>
      <c r="X646" s="107">
        <v>0</v>
      </c>
      <c r="Y646" s="107">
        <v>0</v>
      </c>
      <c r="Z646" s="107">
        <v>0</v>
      </c>
      <c r="AA646" s="107">
        <v>0</v>
      </c>
    </row>
    <row r="647" spans="1:27" x14ac:dyDescent="0.25">
      <c r="A647" s="15" t="s">
        <v>186</v>
      </c>
      <c r="D647" s="106">
        <v>-5</v>
      </c>
      <c r="E647" s="106">
        <f>-6-D647</f>
        <v>-1</v>
      </c>
      <c r="F647" s="106">
        <f>-6-E647-D647</f>
        <v>0</v>
      </c>
      <c r="G647" s="106">
        <f>-6-F647-E647-D647</f>
        <v>0</v>
      </c>
      <c r="H647" s="106">
        <v>0</v>
      </c>
      <c r="I647" s="106">
        <v>0</v>
      </c>
      <c r="J647" s="106">
        <v>0</v>
      </c>
      <c r="K647" s="106">
        <v>0</v>
      </c>
      <c r="L647" s="106">
        <v>0</v>
      </c>
      <c r="M647" s="106">
        <v>-1</v>
      </c>
      <c r="N647" s="106">
        <v>0</v>
      </c>
      <c r="O647" s="106">
        <v>0</v>
      </c>
      <c r="P647" s="106">
        <v>0</v>
      </c>
      <c r="R647" s="107">
        <v>0</v>
      </c>
      <c r="S647" s="107">
        <v>0</v>
      </c>
      <c r="T647" s="107">
        <v>0</v>
      </c>
      <c r="U647" s="107">
        <v>0</v>
      </c>
      <c r="W647" s="246">
        <f t="shared" si="644"/>
        <v>0</v>
      </c>
      <c r="X647" s="107">
        <v>0</v>
      </c>
      <c r="Y647" s="107">
        <v>0</v>
      </c>
      <c r="Z647" s="107">
        <v>0</v>
      </c>
      <c r="AA647" s="107">
        <v>0</v>
      </c>
    </row>
    <row r="648" spans="1:27" x14ac:dyDescent="0.25">
      <c r="A648" s="15" t="s">
        <v>199</v>
      </c>
      <c r="D648" s="106">
        <v>0</v>
      </c>
      <c r="E648" s="106">
        <v>0</v>
      </c>
      <c r="F648" s="106">
        <v>0</v>
      </c>
      <c r="G648" s="106">
        <v>0</v>
      </c>
      <c r="H648" s="106">
        <v>0</v>
      </c>
      <c r="I648" s="106">
        <v>0</v>
      </c>
      <c r="J648" s="106">
        <v>0</v>
      </c>
      <c r="K648" s="106">
        <v>0</v>
      </c>
      <c r="L648" s="106">
        <v>0</v>
      </c>
      <c r="M648" s="106">
        <v>0</v>
      </c>
      <c r="N648" s="106">
        <v>0</v>
      </c>
      <c r="O648" s="106">
        <v>0</v>
      </c>
      <c r="P648" s="106">
        <v>0</v>
      </c>
      <c r="R648" s="107">
        <v>0</v>
      </c>
      <c r="S648" s="107">
        <v>0</v>
      </c>
      <c r="T648" s="107">
        <v>0</v>
      </c>
      <c r="U648" s="107">
        <v>0</v>
      </c>
      <c r="W648" s="246">
        <f t="shared" si="644"/>
        <v>0</v>
      </c>
      <c r="X648" s="107">
        <v>0</v>
      </c>
      <c r="Y648" s="107">
        <v>0</v>
      </c>
      <c r="Z648" s="107">
        <v>0</v>
      </c>
      <c r="AA648" s="107">
        <v>0</v>
      </c>
    </row>
    <row r="649" spans="1:27" x14ac:dyDescent="0.25">
      <c r="A649" s="15" t="s">
        <v>190</v>
      </c>
      <c r="D649" s="106">
        <v>0</v>
      </c>
      <c r="E649" s="106">
        <v>0</v>
      </c>
      <c r="F649" s="106">
        <v>0</v>
      </c>
      <c r="G649" s="106">
        <v>0</v>
      </c>
      <c r="H649" s="106">
        <v>0</v>
      </c>
      <c r="I649" s="106">
        <v>0</v>
      </c>
      <c r="J649" s="106">
        <v>0</v>
      </c>
      <c r="K649" s="106">
        <v>0</v>
      </c>
      <c r="L649" s="106">
        <v>0</v>
      </c>
      <c r="M649" s="106">
        <v>0</v>
      </c>
      <c r="N649" s="106">
        <v>0</v>
      </c>
      <c r="O649" s="106">
        <v>0</v>
      </c>
      <c r="P649" s="106">
        <v>0</v>
      </c>
      <c r="R649" s="107">
        <v>0</v>
      </c>
      <c r="S649" s="107">
        <v>0</v>
      </c>
      <c r="T649" s="107">
        <v>0</v>
      </c>
      <c r="U649" s="107">
        <v>0</v>
      </c>
      <c r="W649" s="246">
        <f t="shared" si="644"/>
        <v>0</v>
      </c>
      <c r="X649" s="107">
        <v>0</v>
      </c>
      <c r="Y649" s="107">
        <v>0</v>
      </c>
      <c r="Z649" s="107">
        <v>0</v>
      </c>
      <c r="AA649" s="107">
        <v>0</v>
      </c>
    </row>
    <row r="650" spans="1:27" x14ac:dyDescent="0.25">
      <c r="A650" s="15" t="s">
        <v>191</v>
      </c>
      <c r="D650" s="22">
        <v>-4</v>
      </c>
      <c r="E650" s="22">
        <f>-9-D650</f>
        <v>-5</v>
      </c>
      <c r="F650" s="22">
        <f>-24-E650-D650</f>
        <v>-15</v>
      </c>
      <c r="G650" s="22">
        <f>-39-F650-E650-D650</f>
        <v>-15</v>
      </c>
      <c r="H650" s="22">
        <v>-13</v>
      </c>
      <c r="I650" s="22">
        <f>-31-H650</f>
        <v>-18</v>
      </c>
      <c r="J650" s="22">
        <f>-42-I650-H650</f>
        <v>-11</v>
      </c>
      <c r="K650" s="22">
        <f>-58-J650-I650-H650</f>
        <v>-16</v>
      </c>
      <c r="L650" s="22">
        <v>-5</v>
      </c>
      <c r="M650" s="22">
        <v>-10</v>
      </c>
      <c r="N650" s="22">
        <v>-12</v>
      </c>
      <c r="O650" s="22">
        <f>-44-SUM(L650:N650)</f>
        <v>-17</v>
      </c>
      <c r="P650" s="22">
        <v>-9</v>
      </c>
      <c r="R650" s="103">
        <v>0</v>
      </c>
      <c r="S650" s="103">
        <v>0</v>
      </c>
      <c r="T650" s="103">
        <v>0</v>
      </c>
      <c r="U650" s="103">
        <v>0</v>
      </c>
      <c r="W650" s="247">
        <f t="shared" si="644"/>
        <v>0</v>
      </c>
      <c r="X650" s="103">
        <v>0</v>
      </c>
      <c r="Y650" s="103">
        <v>0</v>
      </c>
      <c r="Z650" s="103">
        <v>0</v>
      </c>
      <c r="AA650" s="103">
        <v>0</v>
      </c>
    </row>
    <row r="651" spans="1:27" x14ac:dyDescent="0.25">
      <c r="A651" s="9" t="s">
        <v>207</v>
      </c>
      <c r="D651" s="19">
        <f t="shared" ref="D651:P651" si="645">D638+SUM(D643:D650)</f>
        <v>856</v>
      </c>
      <c r="E651" s="19">
        <f t="shared" si="645"/>
        <v>862</v>
      </c>
      <c r="F651" s="19">
        <f t="shared" si="645"/>
        <v>861</v>
      </c>
      <c r="G651" s="19">
        <f t="shared" si="645"/>
        <v>854</v>
      </c>
      <c r="H651" s="19">
        <f t="shared" si="645"/>
        <v>851</v>
      </c>
      <c r="I651" s="19">
        <f t="shared" si="645"/>
        <v>846</v>
      </c>
      <c r="J651" s="23">
        <f t="shared" si="645"/>
        <v>849</v>
      </c>
      <c r="K651" s="19">
        <f t="shared" si="645"/>
        <v>843</v>
      </c>
      <c r="L651" s="19">
        <f t="shared" si="645"/>
        <v>850</v>
      </c>
      <c r="M651" s="19">
        <f t="shared" si="645"/>
        <v>848</v>
      </c>
      <c r="N651" s="19">
        <f t="shared" si="645"/>
        <v>848</v>
      </c>
      <c r="O651" s="19">
        <f t="shared" si="645"/>
        <v>840</v>
      </c>
      <c r="P651" s="19">
        <f t="shared" si="645"/>
        <v>835</v>
      </c>
      <c r="Q651" s="19"/>
      <c r="R651" s="19">
        <f t="shared" ref="R651:U651" si="646">R638+SUM(R643:R650)</f>
        <v>835</v>
      </c>
      <c r="S651" s="19">
        <f t="shared" si="646"/>
        <v>835</v>
      </c>
      <c r="T651" s="19">
        <f t="shared" si="646"/>
        <v>835</v>
      </c>
      <c r="U651" s="19">
        <f t="shared" si="646"/>
        <v>835</v>
      </c>
      <c r="V651" s="19"/>
      <c r="W651" s="19">
        <f t="shared" ref="W651:AA651" si="647">W638+SUM(W643:W650)</f>
        <v>835</v>
      </c>
      <c r="X651" s="19">
        <f t="shared" si="647"/>
        <v>835</v>
      </c>
      <c r="Y651" s="19">
        <f t="shared" si="647"/>
        <v>835</v>
      </c>
      <c r="Z651" s="19">
        <f t="shared" si="647"/>
        <v>835</v>
      </c>
      <c r="AA651" s="19">
        <f t="shared" si="647"/>
        <v>835</v>
      </c>
    </row>
    <row r="652" spans="1:27" x14ac:dyDescent="0.25">
      <c r="A652" s="10"/>
      <c r="D652" s="24"/>
      <c r="E652" s="24"/>
      <c r="F652" s="24"/>
      <c r="G652" s="24"/>
      <c r="H652" s="24"/>
      <c r="I652" s="24"/>
      <c r="J652" s="25"/>
      <c r="K652" s="24"/>
      <c r="L652" s="24"/>
      <c r="M652" s="24"/>
      <c r="N652" s="24"/>
      <c r="O652" s="24"/>
      <c r="P652" s="24"/>
      <c r="R652" s="24"/>
      <c r="S652" s="24"/>
      <c r="T652" s="24"/>
      <c r="U652" s="24"/>
      <c r="W652" s="82"/>
      <c r="X652" s="24"/>
      <c r="Y652" s="24"/>
      <c r="Z652" s="24"/>
      <c r="AA652" s="24"/>
    </row>
    <row r="653" spans="1:27" x14ac:dyDescent="0.25">
      <c r="A653" s="27" t="s">
        <v>208</v>
      </c>
      <c r="D653" s="20"/>
      <c r="E653" s="20"/>
      <c r="F653" s="20"/>
      <c r="G653" s="20"/>
      <c r="H653" s="20"/>
      <c r="I653" s="20"/>
      <c r="J653" s="20"/>
      <c r="K653" s="20"/>
      <c r="L653" s="20"/>
      <c r="M653" s="20"/>
      <c r="N653" s="20"/>
      <c r="O653" s="20"/>
      <c r="P653" s="20"/>
      <c r="R653" s="20"/>
      <c r="S653" s="20"/>
      <c r="T653" s="20"/>
      <c r="U653" s="20"/>
      <c r="W653" s="82"/>
      <c r="X653" s="20"/>
      <c r="Y653" s="20"/>
      <c r="Z653" s="20"/>
      <c r="AA653" s="20"/>
    </row>
    <row r="654" spans="1:27" x14ac:dyDescent="0.25">
      <c r="A654" s="15" t="s">
        <v>183</v>
      </c>
      <c r="D654" s="20">
        <f t="shared" ref="D654:L656" si="648">SUM(D607,D622,D638)</f>
        <v>1936</v>
      </c>
      <c r="E654" s="20">
        <f t="shared" si="648"/>
        <v>1983</v>
      </c>
      <c r="F654" s="20">
        <f t="shared" si="648"/>
        <v>2007</v>
      </c>
      <c r="G654" s="20">
        <f t="shared" si="648"/>
        <v>2015</v>
      </c>
      <c r="H654" s="20">
        <f t="shared" si="648"/>
        <v>2016</v>
      </c>
      <c r="I654" s="20">
        <f t="shared" si="648"/>
        <v>2023</v>
      </c>
      <c r="J654" s="20">
        <f t="shared" si="648"/>
        <v>2039</v>
      </c>
      <c r="K654" s="20">
        <f t="shared" si="648"/>
        <v>2060</v>
      </c>
      <c r="L654" s="20">
        <f t="shared" si="648"/>
        <v>2082</v>
      </c>
      <c r="M654" s="20">
        <f t="shared" ref="M654:N654" si="649">SUM(M607,M622,M638)</f>
        <v>2103</v>
      </c>
      <c r="N654" s="20">
        <f t="shared" si="649"/>
        <v>2123</v>
      </c>
      <c r="O654" s="20">
        <f t="shared" ref="O654:P654" si="650">SUM(O607,O622,O638)</f>
        <v>2143</v>
      </c>
      <c r="P654" s="20">
        <f t="shared" si="650"/>
        <v>2179</v>
      </c>
      <c r="R654" s="20">
        <f t="shared" ref="R654:U654" si="651">SUM(R607,R622,R638)</f>
        <v>2214</v>
      </c>
      <c r="S654" s="20">
        <f t="shared" si="651"/>
        <v>2214</v>
      </c>
      <c r="T654" s="20">
        <f t="shared" si="651"/>
        <v>2214</v>
      </c>
      <c r="U654" s="20">
        <f t="shared" si="651"/>
        <v>2214</v>
      </c>
      <c r="W654" s="20">
        <f t="shared" ref="W654:AA654" si="652">SUM(W607,W622,W638)</f>
        <v>2214</v>
      </c>
      <c r="X654" s="20">
        <f t="shared" si="652"/>
        <v>2214</v>
      </c>
      <c r="Y654" s="20">
        <f t="shared" si="652"/>
        <v>2214</v>
      </c>
      <c r="Z654" s="20">
        <f t="shared" si="652"/>
        <v>2214</v>
      </c>
      <c r="AA654" s="20">
        <f t="shared" si="652"/>
        <v>2214</v>
      </c>
    </row>
    <row r="655" spans="1:27" x14ac:dyDescent="0.25">
      <c r="A655" s="15" t="s">
        <v>184</v>
      </c>
      <c r="D655" s="20">
        <f t="shared" si="648"/>
        <v>29</v>
      </c>
      <c r="E655" s="20">
        <f t="shared" si="648"/>
        <v>29</v>
      </c>
      <c r="F655" s="20">
        <f t="shared" si="648"/>
        <v>26</v>
      </c>
      <c r="G655" s="20">
        <f t="shared" si="648"/>
        <v>26</v>
      </c>
      <c r="H655" s="20">
        <f t="shared" si="648"/>
        <v>31</v>
      </c>
      <c r="I655" s="20">
        <f t="shared" si="648"/>
        <v>37</v>
      </c>
      <c r="J655" s="20">
        <f t="shared" si="648"/>
        <v>32</v>
      </c>
      <c r="K655" s="20">
        <f t="shared" si="648"/>
        <v>39</v>
      </c>
      <c r="L655" s="20">
        <f t="shared" ref="L655:U655" si="653">SUM(L608,L623,L639)</f>
        <v>31</v>
      </c>
      <c r="M655" s="20">
        <f t="shared" ref="M655:N655" si="654">SUM(M608,M623,M639)</f>
        <v>33</v>
      </c>
      <c r="N655" s="20">
        <f t="shared" si="654"/>
        <v>34</v>
      </c>
      <c r="O655" s="20">
        <f t="shared" ref="O655:P655" si="655">SUM(O608,O623,O639)</f>
        <v>46</v>
      </c>
      <c r="P655" s="20">
        <f t="shared" si="655"/>
        <v>41</v>
      </c>
      <c r="R655" s="20">
        <f t="shared" si="653"/>
        <v>0</v>
      </c>
      <c r="S655" s="20">
        <f t="shared" si="653"/>
        <v>0</v>
      </c>
      <c r="T655" s="20">
        <f t="shared" si="653"/>
        <v>0</v>
      </c>
      <c r="U655" s="20">
        <f t="shared" si="653"/>
        <v>0</v>
      </c>
      <c r="W655" s="20">
        <f t="shared" ref="W655" si="656">SUM(W608,W623,W639)</f>
        <v>0</v>
      </c>
      <c r="X655" s="20">
        <f t="shared" ref="X655:AA655" si="657">SUM(X608,X623,X639)</f>
        <v>0</v>
      </c>
      <c r="Y655" s="20">
        <f t="shared" si="657"/>
        <v>0</v>
      </c>
      <c r="Z655" s="20">
        <f t="shared" si="657"/>
        <v>0</v>
      </c>
      <c r="AA655" s="20">
        <f t="shared" si="657"/>
        <v>0</v>
      </c>
    </row>
    <row r="656" spans="1:27" x14ac:dyDescent="0.25">
      <c r="A656" s="15" t="s">
        <v>185</v>
      </c>
      <c r="D656" s="21">
        <f>SUM(D609,D624,D640)</f>
        <v>30</v>
      </c>
      <c r="E656" s="21">
        <f>SUM(E609,E624,E640)</f>
        <v>1</v>
      </c>
      <c r="F656" s="21">
        <f>SUM(F609,F624,F640)</f>
        <v>0</v>
      </c>
      <c r="G656" s="21">
        <f>SUM(G609,G624,G640)</f>
        <v>0</v>
      </c>
      <c r="H656" s="21">
        <f t="shared" si="648"/>
        <v>0</v>
      </c>
      <c r="I656" s="21">
        <f t="shared" si="648"/>
        <v>0</v>
      </c>
      <c r="J656" s="21">
        <f t="shared" si="648"/>
        <v>0</v>
      </c>
      <c r="K656" s="21">
        <f t="shared" si="648"/>
        <v>0</v>
      </c>
      <c r="L656" s="21">
        <f t="shared" ref="L656:U656" si="658">SUM(L609,L624,L640)</f>
        <v>0</v>
      </c>
      <c r="M656" s="21">
        <f t="shared" ref="M656:N656" si="659">SUM(M609,M624,M640)</f>
        <v>0</v>
      </c>
      <c r="N656" s="21">
        <f t="shared" si="659"/>
        <v>0</v>
      </c>
      <c r="O656" s="21">
        <f t="shared" ref="O656:P656" si="660">SUM(O609,O624,O640)</f>
        <v>0</v>
      </c>
      <c r="P656" s="21">
        <f t="shared" si="660"/>
        <v>0</v>
      </c>
      <c r="R656" s="21">
        <f t="shared" si="658"/>
        <v>0</v>
      </c>
      <c r="S656" s="21">
        <f t="shared" si="658"/>
        <v>0</v>
      </c>
      <c r="T656" s="21">
        <f t="shared" si="658"/>
        <v>0</v>
      </c>
      <c r="U656" s="21">
        <f t="shared" si="658"/>
        <v>0</v>
      </c>
      <c r="W656" s="21">
        <f t="shared" ref="W656" si="661">SUM(W609,W624,W640)</f>
        <v>0</v>
      </c>
      <c r="X656" s="21">
        <f t="shared" ref="X656:AA656" si="662">SUM(X609,X624,X640)</f>
        <v>0</v>
      </c>
      <c r="Y656" s="21">
        <f t="shared" si="662"/>
        <v>0</v>
      </c>
      <c r="Z656" s="21">
        <f t="shared" si="662"/>
        <v>0</v>
      </c>
      <c r="AA656" s="21">
        <f t="shared" si="662"/>
        <v>0</v>
      </c>
    </row>
    <row r="657" spans="1:27" x14ac:dyDescent="0.25">
      <c r="A657" s="15" t="s">
        <v>205</v>
      </c>
      <c r="D657" s="21">
        <f t="shared" ref="D657:K657" si="663">SUM(D641,D625)</f>
        <v>0</v>
      </c>
      <c r="E657" s="21">
        <f t="shared" si="663"/>
        <v>5</v>
      </c>
      <c r="F657" s="21">
        <f t="shared" si="663"/>
        <v>2</v>
      </c>
      <c r="G657" s="21">
        <f t="shared" si="663"/>
        <v>0</v>
      </c>
      <c r="H657" s="21">
        <f t="shared" si="663"/>
        <v>3</v>
      </c>
      <c r="I657" s="21">
        <f t="shared" si="663"/>
        <v>-3</v>
      </c>
      <c r="J657" s="21">
        <f t="shared" si="663"/>
        <v>9</v>
      </c>
      <c r="K657" s="21">
        <f t="shared" si="663"/>
        <v>8</v>
      </c>
      <c r="L657" s="21">
        <f t="shared" ref="L657:U657" si="664">SUM(L641,L625)</f>
        <v>6</v>
      </c>
      <c r="M657" s="21">
        <f t="shared" ref="M657:N657" si="665">SUM(M641,M625)</f>
        <v>3</v>
      </c>
      <c r="N657" s="21">
        <f t="shared" si="665"/>
        <v>6</v>
      </c>
      <c r="O657" s="21">
        <f t="shared" ref="O657:P657" si="666">SUM(O641,O625)</f>
        <v>13</v>
      </c>
      <c r="P657" s="21">
        <f t="shared" si="666"/>
        <v>10</v>
      </c>
      <c r="R657" s="21">
        <f t="shared" si="664"/>
        <v>0</v>
      </c>
      <c r="S657" s="21">
        <f t="shared" si="664"/>
        <v>0</v>
      </c>
      <c r="T657" s="21">
        <f t="shared" si="664"/>
        <v>0</v>
      </c>
      <c r="U657" s="21">
        <f t="shared" si="664"/>
        <v>0</v>
      </c>
      <c r="W657" s="21">
        <f t="shared" ref="W657" si="667">SUM(W641,W625)</f>
        <v>0</v>
      </c>
      <c r="X657" s="21">
        <f t="shared" ref="X657:AA657" si="668">SUM(X641,X625)</f>
        <v>0</v>
      </c>
      <c r="Y657" s="21">
        <f t="shared" si="668"/>
        <v>0</v>
      </c>
      <c r="Z657" s="21">
        <f t="shared" si="668"/>
        <v>0</v>
      </c>
      <c r="AA657" s="21">
        <f t="shared" si="668"/>
        <v>0</v>
      </c>
    </row>
    <row r="658" spans="1:27" x14ac:dyDescent="0.25">
      <c r="A658" s="15" t="s">
        <v>187</v>
      </c>
      <c r="D658" s="22">
        <f t="shared" ref="D658:K658" si="669">SUM(D610,D626,D642)</f>
        <v>-2</v>
      </c>
      <c r="E658" s="22">
        <f t="shared" si="669"/>
        <v>-1</v>
      </c>
      <c r="F658" s="22">
        <f t="shared" si="669"/>
        <v>-1</v>
      </c>
      <c r="G658" s="22">
        <f t="shared" si="669"/>
        <v>-2</v>
      </c>
      <c r="H658" s="22">
        <f t="shared" si="669"/>
        <v>-9</v>
      </c>
      <c r="I658" s="66">
        <f t="shared" si="669"/>
        <v>-4</v>
      </c>
      <c r="J658" s="22">
        <f t="shared" si="669"/>
        <v>-3</v>
      </c>
      <c r="K658" s="22">
        <f t="shared" si="669"/>
        <v>-5</v>
      </c>
      <c r="L658" s="22">
        <f t="shared" ref="L658:U658" si="670">SUM(L610,L626,L642)</f>
        <v>-4</v>
      </c>
      <c r="M658" s="22">
        <f t="shared" ref="M658:N658" si="671">SUM(M610,M626,M642)</f>
        <v>-2</v>
      </c>
      <c r="N658" s="22">
        <f t="shared" si="671"/>
        <v>-2</v>
      </c>
      <c r="O658" s="22">
        <f t="shared" ref="O658:P658" si="672">SUM(O610,O626,O642)</f>
        <v>-2</v>
      </c>
      <c r="P658" s="22">
        <f t="shared" si="672"/>
        <v>-4</v>
      </c>
      <c r="R658" s="22">
        <f t="shared" si="670"/>
        <v>0</v>
      </c>
      <c r="S658" s="22">
        <f t="shared" si="670"/>
        <v>0</v>
      </c>
      <c r="T658" s="22">
        <f t="shared" si="670"/>
        <v>0</v>
      </c>
      <c r="U658" s="22">
        <f t="shared" si="670"/>
        <v>0</v>
      </c>
      <c r="W658" s="22">
        <f t="shared" ref="W658" si="673">SUM(W610,W626,W642)</f>
        <v>0</v>
      </c>
      <c r="X658" s="22">
        <f t="shared" ref="X658:AA658" si="674">SUM(X610,X626,X642)</f>
        <v>0</v>
      </c>
      <c r="Y658" s="22">
        <f t="shared" si="674"/>
        <v>0</v>
      </c>
      <c r="Z658" s="22">
        <f t="shared" si="674"/>
        <v>0</v>
      </c>
      <c r="AA658" s="22">
        <f t="shared" si="674"/>
        <v>0</v>
      </c>
    </row>
    <row r="659" spans="1:27" x14ac:dyDescent="0.25">
      <c r="A659" s="9" t="s">
        <v>188</v>
      </c>
      <c r="D659" s="19">
        <f t="shared" ref="D659:U659" si="675">SUM(D655:D658)</f>
        <v>57</v>
      </c>
      <c r="E659" s="19">
        <f t="shared" si="675"/>
        <v>34</v>
      </c>
      <c r="F659" s="19">
        <f t="shared" si="675"/>
        <v>27</v>
      </c>
      <c r="G659" s="19">
        <f t="shared" si="675"/>
        <v>24</v>
      </c>
      <c r="H659" s="19">
        <f t="shared" si="675"/>
        <v>25</v>
      </c>
      <c r="I659" s="24">
        <f t="shared" si="675"/>
        <v>30</v>
      </c>
      <c r="J659" s="23">
        <f t="shared" si="675"/>
        <v>38</v>
      </c>
      <c r="K659" s="19">
        <f t="shared" si="675"/>
        <v>42</v>
      </c>
      <c r="L659" s="19">
        <f t="shared" si="675"/>
        <v>33</v>
      </c>
      <c r="M659" s="19">
        <f t="shared" ref="M659:P659" si="676">SUM(M655:M658)</f>
        <v>34</v>
      </c>
      <c r="N659" s="19">
        <f t="shared" si="676"/>
        <v>38</v>
      </c>
      <c r="O659" s="19">
        <f t="shared" si="676"/>
        <v>57</v>
      </c>
      <c r="P659" s="19">
        <f t="shared" si="676"/>
        <v>47</v>
      </c>
      <c r="R659" s="19">
        <f t="shared" si="675"/>
        <v>0</v>
      </c>
      <c r="S659" s="19">
        <f t="shared" si="675"/>
        <v>0</v>
      </c>
      <c r="T659" s="19">
        <f t="shared" si="675"/>
        <v>0</v>
      </c>
      <c r="U659" s="19">
        <f t="shared" si="675"/>
        <v>0</v>
      </c>
      <c r="W659" s="19">
        <f t="shared" ref="W659" si="677">SUM(W655:W658)</f>
        <v>0</v>
      </c>
      <c r="X659" s="19">
        <f t="shared" ref="X659:AA659" si="678">SUM(X655:X658)</f>
        <v>0</v>
      </c>
      <c r="Y659" s="19">
        <f t="shared" si="678"/>
        <v>0</v>
      </c>
      <c r="Z659" s="19">
        <f t="shared" si="678"/>
        <v>0</v>
      </c>
      <c r="AA659" s="19">
        <f t="shared" si="678"/>
        <v>0</v>
      </c>
    </row>
    <row r="660" spans="1:27" x14ac:dyDescent="0.25">
      <c r="A660" s="9"/>
      <c r="D660" s="19"/>
      <c r="E660" s="19"/>
      <c r="F660" s="19"/>
      <c r="G660" s="19"/>
      <c r="H660" s="19"/>
      <c r="I660" s="24"/>
      <c r="J660" s="23"/>
      <c r="K660" s="19"/>
      <c r="L660" s="19"/>
      <c r="M660" s="19"/>
      <c r="N660" s="19"/>
      <c r="O660" s="19"/>
      <c r="P660" s="19"/>
      <c r="R660" s="19"/>
      <c r="S660" s="19"/>
      <c r="T660" s="19"/>
      <c r="U660" s="19"/>
      <c r="W660" s="82"/>
      <c r="X660" s="19"/>
      <c r="Y660" s="19"/>
      <c r="Z660" s="19"/>
      <c r="AA660" s="19"/>
    </row>
    <row r="661" spans="1:27" x14ac:dyDescent="0.25">
      <c r="A661" s="15" t="s">
        <v>189</v>
      </c>
      <c r="D661" s="20">
        <f t="shared" ref="D661:K666" si="679">SUM(D613,D629,D645)</f>
        <v>1</v>
      </c>
      <c r="E661" s="20">
        <f t="shared" si="679"/>
        <v>-1</v>
      </c>
      <c r="F661" s="20">
        <f t="shared" si="679"/>
        <v>0</v>
      </c>
      <c r="G661" s="20">
        <f t="shared" si="679"/>
        <v>0</v>
      </c>
      <c r="H661" s="20">
        <f t="shared" si="679"/>
        <v>0</v>
      </c>
      <c r="I661" s="21">
        <f t="shared" si="679"/>
        <v>6</v>
      </c>
      <c r="J661" s="21">
        <f t="shared" si="679"/>
        <v>-6</v>
      </c>
      <c r="K661" s="20">
        <f t="shared" si="679"/>
        <v>0</v>
      </c>
      <c r="L661" s="20">
        <f t="shared" ref="L661:U661" si="680">SUM(L613,L629,L645)</f>
        <v>0</v>
      </c>
      <c r="M661" s="20">
        <f t="shared" ref="M661:N661" si="681">SUM(M613,M629,M645)</f>
        <v>0</v>
      </c>
      <c r="N661" s="20">
        <f t="shared" si="681"/>
        <v>0</v>
      </c>
      <c r="O661" s="20">
        <f t="shared" ref="O661:P661" si="682">SUM(O613,O629,O645)</f>
        <v>0</v>
      </c>
      <c r="P661" s="20">
        <f t="shared" si="682"/>
        <v>0</v>
      </c>
      <c r="R661" s="20">
        <f t="shared" si="680"/>
        <v>0</v>
      </c>
      <c r="S661" s="20">
        <f t="shared" si="680"/>
        <v>0</v>
      </c>
      <c r="T661" s="20">
        <f t="shared" si="680"/>
        <v>0</v>
      </c>
      <c r="U661" s="20">
        <f t="shared" si="680"/>
        <v>0</v>
      </c>
      <c r="W661" s="20">
        <f t="shared" ref="W661" si="683">SUM(W613,W629,W645)</f>
        <v>0</v>
      </c>
      <c r="X661" s="20">
        <f t="shared" ref="X661:AA661" si="684">SUM(X613,X629,X645)</f>
        <v>0</v>
      </c>
      <c r="Y661" s="20">
        <f t="shared" si="684"/>
        <v>0</v>
      </c>
      <c r="Z661" s="20">
        <f t="shared" si="684"/>
        <v>0</v>
      </c>
      <c r="AA661" s="20">
        <f t="shared" si="684"/>
        <v>0</v>
      </c>
    </row>
    <row r="662" spans="1:27" x14ac:dyDescent="0.25">
      <c r="A662" s="15" t="s">
        <v>203</v>
      </c>
      <c r="D662" s="20">
        <f t="shared" si="679"/>
        <v>0</v>
      </c>
      <c r="E662" s="20">
        <f t="shared" si="679"/>
        <v>0</v>
      </c>
      <c r="F662" s="20">
        <f t="shared" si="679"/>
        <v>0</v>
      </c>
      <c r="G662" s="20">
        <f t="shared" si="679"/>
        <v>0</v>
      </c>
      <c r="H662" s="20">
        <f t="shared" si="679"/>
        <v>0</v>
      </c>
      <c r="I662" s="21">
        <f t="shared" si="679"/>
        <v>0</v>
      </c>
      <c r="J662" s="21">
        <f t="shared" si="679"/>
        <v>0</v>
      </c>
      <c r="K662" s="20">
        <f t="shared" si="679"/>
        <v>0</v>
      </c>
      <c r="L662" s="20">
        <f t="shared" ref="L662:U662" si="685">SUM(L614,L630,L646)</f>
        <v>0</v>
      </c>
      <c r="M662" s="20">
        <f t="shared" ref="M662:N662" si="686">SUM(M614,M630,M646)</f>
        <v>0</v>
      </c>
      <c r="N662" s="20">
        <f t="shared" si="686"/>
        <v>0</v>
      </c>
      <c r="O662" s="20">
        <f t="shared" ref="O662:P662" si="687">SUM(O614,O630,O646)</f>
        <v>0</v>
      </c>
      <c r="P662" s="20">
        <f t="shared" si="687"/>
        <v>0</v>
      </c>
      <c r="R662" s="20">
        <f t="shared" si="685"/>
        <v>0</v>
      </c>
      <c r="S662" s="20">
        <f t="shared" si="685"/>
        <v>0</v>
      </c>
      <c r="T662" s="20">
        <f t="shared" si="685"/>
        <v>0</v>
      </c>
      <c r="U662" s="20">
        <f t="shared" si="685"/>
        <v>0</v>
      </c>
      <c r="W662" s="20">
        <f t="shared" ref="W662" si="688">SUM(W614,W630,W646)</f>
        <v>0</v>
      </c>
      <c r="X662" s="20">
        <f t="shared" ref="X662:AA662" si="689">SUM(X614,X630,X646)</f>
        <v>0</v>
      </c>
      <c r="Y662" s="20">
        <f t="shared" si="689"/>
        <v>0</v>
      </c>
      <c r="Z662" s="20">
        <f t="shared" si="689"/>
        <v>0</v>
      </c>
      <c r="AA662" s="20">
        <f t="shared" si="689"/>
        <v>0</v>
      </c>
    </row>
    <row r="663" spans="1:27" x14ac:dyDescent="0.25">
      <c r="A663" s="15" t="s">
        <v>186</v>
      </c>
      <c r="D663" s="20">
        <f t="shared" si="679"/>
        <v>-5</v>
      </c>
      <c r="E663" s="20">
        <f t="shared" si="679"/>
        <v>-3</v>
      </c>
      <c r="F663" s="20">
        <f t="shared" si="679"/>
        <v>0</v>
      </c>
      <c r="G663" s="20">
        <f t="shared" si="679"/>
        <v>-3</v>
      </c>
      <c r="H663" s="20">
        <f t="shared" si="679"/>
        <v>0</v>
      </c>
      <c r="I663" s="21">
        <f t="shared" si="679"/>
        <v>-1</v>
      </c>
      <c r="J663" s="21">
        <f t="shared" si="679"/>
        <v>0</v>
      </c>
      <c r="K663" s="21">
        <f t="shared" si="679"/>
        <v>1</v>
      </c>
      <c r="L663" s="21">
        <f t="shared" ref="L663:U663" si="690">SUM(L615,L631,L647)</f>
        <v>-1</v>
      </c>
      <c r="M663" s="21">
        <f t="shared" ref="M663:N663" si="691">SUM(M615,M631,M647)</f>
        <v>-1</v>
      </c>
      <c r="N663" s="21">
        <f t="shared" si="691"/>
        <v>0</v>
      </c>
      <c r="O663" s="21">
        <f t="shared" ref="O663:P663" si="692">SUM(O615,O631,O647)</f>
        <v>0</v>
      </c>
      <c r="P663" s="21">
        <f t="shared" si="692"/>
        <v>0</v>
      </c>
      <c r="R663" s="21">
        <f t="shared" si="690"/>
        <v>0</v>
      </c>
      <c r="S663" s="21">
        <f t="shared" si="690"/>
        <v>0</v>
      </c>
      <c r="T663" s="21">
        <f t="shared" si="690"/>
        <v>0</v>
      </c>
      <c r="U663" s="21">
        <f t="shared" si="690"/>
        <v>0</v>
      </c>
      <c r="W663" s="21">
        <f t="shared" ref="W663" si="693">SUM(W615,W631,W647)</f>
        <v>0</v>
      </c>
      <c r="X663" s="21">
        <f t="shared" ref="X663:AA663" si="694">SUM(X615,X631,X647)</f>
        <v>0</v>
      </c>
      <c r="Y663" s="21">
        <f t="shared" si="694"/>
        <v>0</v>
      </c>
      <c r="Z663" s="21">
        <f t="shared" si="694"/>
        <v>0</v>
      </c>
      <c r="AA663" s="21">
        <f t="shared" si="694"/>
        <v>0</v>
      </c>
    </row>
    <row r="664" spans="1:27" x14ac:dyDescent="0.25">
      <c r="A664" s="15" t="s">
        <v>199</v>
      </c>
      <c r="D664" s="20">
        <f t="shared" si="679"/>
        <v>0</v>
      </c>
      <c r="E664" s="20">
        <f t="shared" si="679"/>
        <v>0</v>
      </c>
      <c r="F664" s="20">
        <f t="shared" si="679"/>
        <v>0</v>
      </c>
      <c r="G664" s="20">
        <f t="shared" si="679"/>
        <v>0</v>
      </c>
      <c r="H664" s="20">
        <f t="shared" si="679"/>
        <v>0</v>
      </c>
      <c r="I664" s="20">
        <f t="shared" si="679"/>
        <v>0</v>
      </c>
      <c r="J664" s="21">
        <f t="shared" si="679"/>
        <v>0</v>
      </c>
      <c r="K664" s="20">
        <f t="shared" si="679"/>
        <v>0</v>
      </c>
      <c r="L664" s="20">
        <f t="shared" ref="L664:U664" si="695">SUM(L616,L632,L648)</f>
        <v>0</v>
      </c>
      <c r="M664" s="20">
        <f t="shared" ref="M664:N664" si="696">SUM(M616,M632,M648)</f>
        <v>0</v>
      </c>
      <c r="N664" s="20">
        <f t="shared" si="696"/>
        <v>0</v>
      </c>
      <c r="O664" s="20">
        <f t="shared" ref="O664:P664" si="697">SUM(O616,O632,O648)</f>
        <v>0</v>
      </c>
      <c r="P664" s="20">
        <f t="shared" si="697"/>
        <v>0</v>
      </c>
      <c r="R664" s="20">
        <f t="shared" si="695"/>
        <v>0</v>
      </c>
      <c r="S664" s="20">
        <f t="shared" si="695"/>
        <v>0</v>
      </c>
      <c r="T664" s="20">
        <f t="shared" si="695"/>
        <v>0</v>
      </c>
      <c r="U664" s="20">
        <f t="shared" si="695"/>
        <v>0</v>
      </c>
      <c r="W664" s="20">
        <f t="shared" ref="W664" si="698">SUM(W616,W632,W648)</f>
        <v>0</v>
      </c>
      <c r="X664" s="20">
        <f t="shared" ref="X664:AA664" si="699">SUM(X616,X632,X648)</f>
        <v>0</v>
      </c>
      <c r="Y664" s="20">
        <f t="shared" si="699"/>
        <v>0</v>
      </c>
      <c r="Z664" s="20">
        <f t="shared" si="699"/>
        <v>0</v>
      </c>
      <c r="AA664" s="20">
        <f t="shared" si="699"/>
        <v>0</v>
      </c>
    </row>
    <row r="665" spans="1:27" x14ac:dyDescent="0.25">
      <c r="A665" s="15" t="s">
        <v>190</v>
      </c>
      <c r="D665" s="20">
        <f t="shared" si="679"/>
        <v>0</v>
      </c>
      <c r="E665" s="20">
        <f t="shared" si="679"/>
        <v>0</v>
      </c>
      <c r="F665" s="20">
        <f t="shared" si="679"/>
        <v>0</v>
      </c>
      <c r="G665" s="20">
        <f t="shared" si="679"/>
        <v>0</v>
      </c>
      <c r="H665" s="20">
        <f t="shared" si="679"/>
        <v>0</v>
      </c>
      <c r="I665" s="20">
        <f t="shared" si="679"/>
        <v>0</v>
      </c>
      <c r="J665" s="21">
        <f t="shared" si="679"/>
        <v>0</v>
      </c>
      <c r="K665" s="20">
        <f t="shared" si="679"/>
        <v>0</v>
      </c>
      <c r="L665" s="20">
        <f t="shared" ref="L665:U665" si="700">SUM(L617,L633,L649)</f>
        <v>0</v>
      </c>
      <c r="M665" s="20">
        <f t="shared" ref="M665:N665" si="701">SUM(M617,M633,M649)</f>
        <v>0</v>
      </c>
      <c r="N665" s="20">
        <f t="shared" si="701"/>
        <v>0</v>
      </c>
      <c r="O665" s="20">
        <f t="shared" ref="O665:P665" si="702">SUM(O617,O633,O649)</f>
        <v>0</v>
      </c>
      <c r="P665" s="20">
        <f t="shared" si="702"/>
        <v>0</v>
      </c>
      <c r="R665" s="20">
        <f t="shared" si="700"/>
        <v>0</v>
      </c>
      <c r="S665" s="20">
        <f t="shared" si="700"/>
        <v>0</v>
      </c>
      <c r="T665" s="20">
        <f t="shared" si="700"/>
        <v>0</v>
      </c>
      <c r="U665" s="20">
        <f t="shared" si="700"/>
        <v>0</v>
      </c>
      <c r="W665" s="20">
        <f t="shared" ref="W665" si="703">SUM(W617,W633,W649)</f>
        <v>0</v>
      </c>
      <c r="X665" s="20">
        <f t="shared" ref="X665:AA665" si="704">SUM(X617,X633,X649)</f>
        <v>0</v>
      </c>
      <c r="Y665" s="20">
        <f t="shared" si="704"/>
        <v>0</v>
      </c>
      <c r="Z665" s="20">
        <f t="shared" si="704"/>
        <v>0</v>
      </c>
      <c r="AA665" s="20">
        <f t="shared" si="704"/>
        <v>0</v>
      </c>
    </row>
    <row r="666" spans="1:27" x14ac:dyDescent="0.25">
      <c r="A666" s="15" t="s">
        <v>191</v>
      </c>
      <c r="D666" s="22">
        <f t="shared" si="679"/>
        <v>-6</v>
      </c>
      <c r="E666" s="22">
        <f t="shared" si="679"/>
        <v>-6</v>
      </c>
      <c r="F666" s="22">
        <f t="shared" si="679"/>
        <v>-19</v>
      </c>
      <c r="G666" s="22">
        <f t="shared" si="679"/>
        <v>-20</v>
      </c>
      <c r="H666" s="22">
        <f t="shared" si="679"/>
        <v>-18</v>
      </c>
      <c r="I666" s="22">
        <f t="shared" si="679"/>
        <v>-19</v>
      </c>
      <c r="J666" s="22">
        <f t="shared" si="679"/>
        <v>-11</v>
      </c>
      <c r="K666" s="22">
        <f t="shared" si="679"/>
        <v>-21</v>
      </c>
      <c r="L666" s="22">
        <f t="shared" ref="L666:U666" si="705">SUM(L618,L634,L650)</f>
        <v>-11</v>
      </c>
      <c r="M666" s="22">
        <f t="shared" ref="M666:N666" si="706">SUM(M618,M634,M650)</f>
        <v>-13</v>
      </c>
      <c r="N666" s="22">
        <f t="shared" si="706"/>
        <v>-18</v>
      </c>
      <c r="O666" s="22">
        <f t="shared" ref="O666:P666" si="707">SUM(O618,O634,O650)</f>
        <v>-21</v>
      </c>
      <c r="P666" s="22">
        <f t="shared" si="707"/>
        <v>-12</v>
      </c>
      <c r="R666" s="22">
        <f t="shared" si="705"/>
        <v>0</v>
      </c>
      <c r="S666" s="22">
        <f t="shared" si="705"/>
        <v>0</v>
      </c>
      <c r="T666" s="22">
        <f t="shared" si="705"/>
        <v>0</v>
      </c>
      <c r="U666" s="22">
        <f t="shared" si="705"/>
        <v>0</v>
      </c>
      <c r="W666" s="22">
        <f t="shared" ref="W666" si="708">SUM(W618,W634,W650)</f>
        <v>0</v>
      </c>
      <c r="X666" s="22">
        <f t="shared" ref="X666:AA666" si="709">SUM(X618,X634,X650)</f>
        <v>0</v>
      </c>
      <c r="Y666" s="22">
        <f t="shared" si="709"/>
        <v>0</v>
      </c>
      <c r="Z666" s="22">
        <f t="shared" si="709"/>
        <v>0</v>
      </c>
      <c r="AA666" s="22">
        <f t="shared" si="709"/>
        <v>0</v>
      </c>
    </row>
    <row r="667" spans="1:27" x14ac:dyDescent="0.25">
      <c r="A667" s="17" t="s">
        <v>209</v>
      </c>
      <c r="D667" s="19">
        <f t="shared" ref="D667:AA667" si="710">D654+SUM(D659:D666)</f>
        <v>1983</v>
      </c>
      <c r="E667" s="19">
        <f t="shared" si="710"/>
        <v>2007</v>
      </c>
      <c r="F667" s="19">
        <f t="shared" si="710"/>
        <v>2015</v>
      </c>
      <c r="G667" s="19">
        <f t="shared" si="710"/>
        <v>2016</v>
      </c>
      <c r="H667" s="19">
        <f t="shared" si="710"/>
        <v>2023</v>
      </c>
      <c r="I667" s="19">
        <f t="shared" si="710"/>
        <v>2039</v>
      </c>
      <c r="J667" s="23">
        <f t="shared" si="710"/>
        <v>2060</v>
      </c>
      <c r="K667" s="19">
        <f t="shared" si="710"/>
        <v>2082</v>
      </c>
      <c r="L667" s="19">
        <f t="shared" si="710"/>
        <v>2103</v>
      </c>
      <c r="M667" s="19">
        <f t="shared" si="710"/>
        <v>2123</v>
      </c>
      <c r="N667" s="19">
        <f t="shared" si="710"/>
        <v>2143</v>
      </c>
      <c r="O667" s="19">
        <f t="shared" si="710"/>
        <v>2179</v>
      </c>
      <c r="P667" s="19">
        <f t="shared" si="710"/>
        <v>2214</v>
      </c>
      <c r="Q667" s="19"/>
      <c r="R667" s="19">
        <f t="shared" si="710"/>
        <v>2214</v>
      </c>
      <c r="S667" s="19">
        <f t="shared" si="710"/>
        <v>2214</v>
      </c>
      <c r="T667" s="19">
        <f t="shared" si="710"/>
        <v>2214</v>
      </c>
      <c r="U667" s="19">
        <f t="shared" si="710"/>
        <v>2214</v>
      </c>
      <c r="V667" s="19"/>
      <c r="W667" s="19">
        <f t="shared" ref="W667" si="711">W654+SUM(W659:W666)</f>
        <v>2214</v>
      </c>
      <c r="X667" s="19">
        <f t="shared" si="710"/>
        <v>2214</v>
      </c>
      <c r="Y667" s="19">
        <f t="shared" si="710"/>
        <v>2214</v>
      </c>
      <c r="Z667" s="19">
        <f t="shared" si="710"/>
        <v>2214</v>
      </c>
      <c r="AA667" s="19">
        <f t="shared" si="710"/>
        <v>2214</v>
      </c>
    </row>
    <row r="668" spans="1:27" x14ac:dyDescent="0.25">
      <c r="A668" s="15"/>
      <c r="D668" s="15"/>
      <c r="E668" s="15"/>
      <c r="F668" s="15"/>
      <c r="G668" s="15"/>
      <c r="H668" s="15"/>
      <c r="I668" s="15"/>
      <c r="J668" s="15"/>
      <c r="K668" s="15"/>
      <c r="L668" s="15"/>
      <c r="M668" s="15"/>
      <c r="N668" s="15"/>
      <c r="O668" s="15"/>
      <c r="P668" s="15"/>
      <c r="R668" s="15"/>
      <c r="S668" s="15"/>
      <c r="T668" s="15"/>
      <c r="U668" s="15"/>
      <c r="W668" s="82"/>
      <c r="X668" s="15"/>
      <c r="Y668" s="15"/>
      <c r="Z668" s="15"/>
      <c r="AA668" s="15"/>
    </row>
    <row r="669" spans="1:27" x14ac:dyDescent="0.25">
      <c r="A669" s="378" t="s">
        <v>210</v>
      </c>
      <c r="D669" s="25">
        <f t="shared" ref="D669:P669" si="712">D602+D667</f>
        <v>9867</v>
      </c>
      <c r="E669" s="25">
        <f t="shared" si="712"/>
        <v>9858</v>
      </c>
      <c r="F669" s="25">
        <f t="shared" si="712"/>
        <v>9782</v>
      </c>
      <c r="G669" s="25">
        <f t="shared" si="712"/>
        <v>9738</v>
      </c>
      <c r="H669" s="25">
        <f t="shared" si="712"/>
        <v>9703</v>
      </c>
      <c r="I669" s="25">
        <f t="shared" si="712"/>
        <v>9640</v>
      </c>
      <c r="J669" s="25">
        <f t="shared" si="712"/>
        <v>9593</v>
      </c>
      <c r="K669" s="25">
        <f t="shared" si="712"/>
        <v>9517</v>
      </c>
      <c r="L669" s="25">
        <f t="shared" si="712"/>
        <v>9506</v>
      </c>
      <c r="M669" s="25">
        <f t="shared" si="712"/>
        <v>9511</v>
      </c>
      <c r="N669" s="25">
        <f t="shared" si="712"/>
        <v>9460</v>
      </c>
      <c r="O669" s="25">
        <f t="shared" si="712"/>
        <v>9456</v>
      </c>
      <c r="P669" s="25">
        <f t="shared" si="712"/>
        <v>9432</v>
      </c>
      <c r="Q669" s="25"/>
      <c r="R669" s="25">
        <f>R602+R667</f>
        <v>9432</v>
      </c>
      <c r="S669" s="25">
        <f>S602+S667</f>
        <v>9432</v>
      </c>
      <c r="T669" s="25">
        <f>T602+T667</f>
        <v>9432</v>
      </c>
      <c r="U669" s="25">
        <f>U602+U667</f>
        <v>9432</v>
      </c>
      <c r="V669" s="25"/>
      <c r="W669" s="25">
        <f>W602+W667</f>
        <v>9432</v>
      </c>
      <c r="X669" s="25">
        <f>X602+X667</f>
        <v>9432</v>
      </c>
      <c r="Y669" s="25">
        <f>Y602+Y667</f>
        <v>9432</v>
      </c>
      <c r="Z669" s="25">
        <f>Z602+Z667</f>
        <v>9432</v>
      </c>
      <c r="AA669" s="25">
        <f>AA602+AA667</f>
        <v>9432</v>
      </c>
    </row>
    <row r="670" spans="1:27" collapsed="1" x14ac:dyDescent="0.25">
      <c r="A670" s="59"/>
      <c r="D670" s="59"/>
      <c r="E670" s="59"/>
      <c r="F670" s="59"/>
      <c r="G670" s="59"/>
      <c r="H670" s="59"/>
      <c r="I670" s="59"/>
      <c r="J670" s="59"/>
      <c r="K670" s="59"/>
      <c r="L670" s="59"/>
      <c r="M670" s="59"/>
      <c r="N670" s="59"/>
      <c r="O670" s="59"/>
      <c r="P670" s="59"/>
      <c r="W670" s="82"/>
    </row>
  </sheetData>
  <mergeCells count="3">
    <mergeCell ref="R2:U2"/>
    <mergeCell ref="W2:AA2"/>
    <mergeCell ref="D2:P2"/>
  </mergeCells>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AD308"/>
  <sheetViews>
    <sheetView showGridLines="0" tabSelected="1" zoomScale="80" zoomScaleNormal="80" workbookViewId="0">
      <pane xSplit="1" ySplit="3" topLeftCell="B4" activePane="bottomRight" state="frozen"/>
      <selection pane="topRight" activeCell="B1" sqref="B1"/>
      <selection pane="bottomLeft" activeCell="A3" sqref="A3"/>
      <selection pane="bottomRight" activeCell="J7" sqref="J7"/>
    </sheetView>
  </sheetViews>
  <sheetFormatPr defaultRowHeight="15" outlineLevelRow="1" outlineLevelCol="1" x14ac:dyDescent="0.25"/>
  <cols>
    <col min="1" max="1" width="65.140625" style="31" customWidth="1"/>
    <col min="2" max="2" width="14.7109375" style="31" customWidth="1"/>
    <col min="3" max="8" width="14.7109375" style="31" hidden="1" customWidth="1" outlineLevel="1"/>
    <col min="9" max="9" width="14.7109375" style="31" customWidth="1" collapsed="1"/>
    <col min="10" max="11" width="14.7109375" style="31" customWidth="1"/>
    <col min="12" max="12" width="14.7109375" style="104" customWidth="1"/>
    <col min="13" max="23" width="14.7109375" style="31" customWidth="1"/>
    <col min="24" max="24" width="9.140625" style="31"/>
    <col min="25" max="25" width="14.7109375" style="31" customWidth="1"/>
    <col min="26" max="16384" width="9.140625" style="31"/>
  </cols>
  <sheetData>
    <row r="1" spans="1:30" x14ac:dyDescent="0.25">
      <c r="F1" s="32">
        <v>0</v>
      </c>
      <c r="G1" s="32">
        <f t="shared" ref="G1:N1" si="0">F1+1</f>
        <v>1</v>
      </c>
      <c r="H1" s="32">
        <f t="shared" si="0"/>
        <v>2</v>
      </c>
      <c r="I1" s="32">
        <f t="shared" si="0"/>
        <v>3</v>
      </c>
      <c r="J1" s="32">
        <f t="shared" si="0"/>
        <v>4</v>
      </c>
      <c r="K1" s="32">
        <f t="shared" si="0"/>
        <v>5</v>
      </c>
      <c r="L1" s="32">
        <f t="shared" si="0"/>
        <v>6</v>
      </c>
      <c r="M1" s="32">
        <f t="shared" si="0"/>
        <v>7</v>
      </c>
      <c r="N1" s="32">
        <f t="shared" si="0"/>
        <v>8</v>
      </c>
      <c r="O1" s="32">
        <v>9</v>
      </c>
      <c r="P1" s="32">
        <v>10</v>
      </c>
      <c r="Q1" s="32"/>
      <c r="R1" s="32"/>
      <c r="S1" s="32"/>
      <c r="T1" s="32">
        <f>P1+1</f>
        <v>11</v>
      </c>
      <c r="U1" s="32">
        <f>T1+1</f>
        <v>12</v>
      </c>
      <c r="V1" s="32">
        <f>U1+1</f>
        <v>13</v>
      </c>
      <c r="W1" s="32">
        <f>V1+1</f>
        <v>14</v>
      </c>
      <c r="X1" s="32"/>
      <c r="Y1" s="32">
        <f>W1</f>
        <v>14</v>
      </c>
      <c r="Z1" s="32">
        <f>Y1+4</f>
        <v>18</v>
      </c>
      <c r="AA1" s="32">
        <f>Z1+4</f>
        <v>22</v>
      </c>
      <c r="AB1" s="32">
        <f>AA1+4</f>
        <v>26</v>
      </c>
      <c r="AC1" s="32">
        <f>AB1+4</f>
        <v>30</v>
      </c>
    </row>
    <row r="2" spans="1:30" x14ac:dyDescent="0.25">
      <c r="A2" s="33"/>
      <c r="F2" s="605"/>
      <c r="G2" s="606"/>
      <c r="H2" s="606"/>
      <c r="I2" s="606"/>
      <c r="J2" s="606"/>
      <c r="K2" s="606"/>
      <c r="L2" s="606"/>
      <c r="M2" s="606"/>
      <c r="N2" s="606"/>
      <c r="O2" s="606"/>
      <c r="P2" s="606"/>
      <c r="Q2" s="606"/>
      <c r="R2" s="599"/>
      <c r="T2" s="626" t="s">
        <v>221</v>
      </c>
      <c r="U2" s="627"/>
      <c r="V2" s="627"/>
      <c r="W2" s="628"/>
      <c r="Y2" s="626" t="s">
        <v>222</v>
      </c>
      <c r="Z2" s="627"/>
      <c r="AA2" s="627"/>
      <c r="AB2" s="627"/>
      <c r="AC2" s="628"/>
    </row>
    <row r="3" spans="1:30" s="33" customFormat="1" x14ac:dyDescent="0.25">
      <c r="D3" s="34"/>
      <c r="E3" s="34"/>
      <c r="F3" s="35" t="s">
        <v>126</v>
      </c>
      <c r="G3" s="35" t="s">
        <v>124</v>
      </c>
      <c r="H3" s="35" t="s">
        <v>123</v>
      </c>
      <c r="I3" s="35" t="s">
        <v>120</v>
      </c>
      <c r="J3" s="35" t="s">
        <v>115</v>
      </c>
      <c r="K3" s="35" t="s">
        <v>122</v>
      </c>
      <c r="L3" s="132" t="s">
        <v>121</v>
      </c>
      <c r="M3" s="35" t="s">
        <v>119</v>
      </c>
      <c r="N3" s="35" t="s">
        <v>286</v>
      </c>
      <c r="O3" s="35" t="s">
        <v>8665</v>
      </c>
      <c r="P3" s="132" t="s">
        <v>8680</v>
      </c>
      <c r="Q3" s="35" t="s">
        <v>8846</v>
      </c>
      <c r="R3" s="35" t="s">
        <v>8849</v>
      </c>
      <c r="T3" s="36" t="s">
        <v>228</v>
      </c>
      <c r="U3" s="36" t="s">
        <v>229</v>
      </c>
      <c r="V3" s="36" t="s">
        <v>230</v>
      </c>
      <c r="W3" s="36" t="s">
        <v>231</v>
      </c>
      <c r="Y3" s="36" t="s">
        <v>223</v>
      </c>
      <c r="Z3" s="36" t="s">
        <v>224</v>
      </c>
      <c r="AA3" s="36" t="s">
        <v>225</v>
      </c>
      <c r="AB3" s="36" t="s">
        <v>226</v>
      </c>
      <c r="AC3" s="36" t="s">
        <v>227</v>
      </c>
    </row>
    <row r="4" spans="1:30" x14ac:dyDescent="0.25">
      <c r="D4" s="37"/>
      <c r="E4" s="37"/>
      <c r="F4" s="38"/>
      <c r="G4" s="38"/>
      <c r="H4" s="38"/>
      <c r="I4" s="38"/>
      <c r="J4" s="38"/>
      <c r="K4" s="38"/>
      <c r="L4" s="133"/>
      <c r="M4" s="38"/>
      <c r="N4" s="38"/>
      <c r="O4" s="38"/>
      <c r="P4" s="38"/>
      <c r="Q4" s="38"/>
      <c r="R4" s="38"/>
    </row>
    <row r="5" spans="1:30" x14ac:dyDescent="0.25">
      <c r="A5" s="636" t="s">
        <v>8851</v>
      </c>
      <c r="B5" s="204"/>
      <c r="C5" s="204"/>
      <c r="D5" s="204"/>
      <c r="E5" s="204"/>
      <c r="F5" s="204"/>
      <c r="G5" s="204"/>
      <c r="H5" s="204"/>
      <c r="I5" s="204"/>
      <c r="J5" s="205"/>
      <c r="K5" s="204"/>
      <c r="L5" s="206"/>
      <c r="M5" s="204"/>
      <c r="N5" s="204"/>
      <c r="O5" s="204"/>
      <c r="P5" s="204"/>
      <c r="Q5" s="204"/>
      <c r="R5" s="204"/>
      <c r="S5" s="41"/>
      <c r="T5" s="41"/>
      <c r="U5" s="41"/>
      <c r="V5" s="41"/>
      <c r="W5" s="41"/>
      <c r="X5" s="41"/>
      <c r="Y5" s="41"/>
      <c r="Z5" s="41"/>
      <c r="AA5" s="41"/>
      <c r="AB5" s="41"/>
      <c r="AC5" s="42"/>
      <c r="AD5" s="43"/>
    </row>
    <row r="6" spans="1:30" s="33" customFormat="1" x14ac:dyDescent="0.25">
      <c r="J6" s="47"/>
      <c r="K6" s="47"/>
      <c r="L6" s="47"/>
      <c r="M6" s="47"/>
      <c r="N6" s="47"/>
      <c r="O6" s="47"/>
      <c r="P6" s="47"/>
      <c r="Q6" s="47"/>
      <c r="R6" s="47"/>
      <c r="X6" s="46"/>
      <c r="Y6" s="46"/>
      <c r="Z6" s="46"/>
      <c r="AA6" s="46"/>
      <c r="AB6" s="46"/>
      <c r="AC6" s="46"/>
      <c r="AD6" s="46"/>
    </row>
    <row r="7" spans="1:30" s="33" customFormat="1" x14ac:dyDescent="0.25">
      <c r="A7" s="623"/>
      <c r="J7" s="441" t="s">
        <v>8745</v>
      </c>
      <c r="K7" s="442"/>
      <c r="L7" s="443"/>
      <c r="M7" s="443"/>
      <c r="N7" s="443"/>
      <c r="O7" s="443"/>
      <c r="P7" s="443"/>
      <c r="Q7" s="443"/>
      <c r="R7" s="444"/>
      <c r="X7" s="46"/>
      <c r="Y7" s="46"/>
      <c r="Z7" s="46"/>
      <c r="AA7" s="46"/>
      <c r="AB7" s="46"/>
      <c r="AC7" s="46"/>
      <c r="AD7" s="46"/>
    </row>
    <row r="8" spans="1:30" s="33" customFormat="1" x14ac:dyDescent="0.25">
      <c r="A8" s="623"/>
      <c r="J8" s="439"/>
      <c r="K8" s="426"/>
      <c r="L8" s="427"/>
      <c r="M8" s="427"/>
      <c r="N8" s="427"/>
      <c r="O8" s="427"/>
      <c r="P8" s="427"/>
      <c r="Q8" s="427"/>
      <c r="R8" s="440"/>
      <c r="X8" s="46"/>
      <c r="Y8" s="46"/>
      <c r="Z8" s="46"/>
      <c r="AA8" s="46"/>
      <c r="AB8" s="46"/>
      <c r="AC8" s="46"/>
      <c r="AD8" s="46"/>
    </row>
    <row r="9" spans="1:30" s="33" customFormat="1" x14ac:dyDescent="0.25">
      <c r="A9" s="623"/>
      <c r="J9" s="456" t="s">
        <v>8737</v>
      </c>
      <c r="K9" s="46"/>
      <c r="L9" s="429"/>
      <c r="M9" s="429"/>
      <c r="N9" s="429"/>
      <c r="O9" s="429"/>
      <c r="P9" s="429"/>
      <c r="Q9" s="429"/>
      <c r="R9" s="452">
        <f>R144</f>
        <v>80.592754887760478</v>
      </c>
      <c r="X9" s="46"/>
      <c r="Y9" s="46"/>
      <c r="Z9" s="46"/>
      <c r="AA9" s="46"/>
      <c r="AB9" s="46"/>
      <c r="AC9" s="46"/>
      <c r="AD9" s="46"/>
    </row>
    <row r="10" spans="1:30" s="33" customFormat="1" x14ac:dyDescent="0.25">
      <c r="A10" s="623"/>
      <c r="J10" s="532" t="s">
        <v>8746</v>
      </c>
      <c r="K10" s="46"/>
      <c r="L10" s="429"/>
      <c r="M10" s="429"/>
      <c r="N10" s="429"/>
      <c r="O10" s="429"/>
      <c r="P10" s="429"/>
      <c r="Q10" s="429"/>
      <c r="R10" s="457">
        <f>ROUND(SUM(O173:R173),1)</f>
        <v>-14.7</v>
      </c>
      <c r="X10" s="46"/>
      <c r="Y10" s="46"/>
      <c r="Z10" s="46"/>
      <c r="AA10" s="46"/>
      <c r="AB10" s="46"/>
      <c r="AC10" s="46"/>
      <c r="AD10" s="46"/>
    </row>
    <row r="11" spans="1:30" s="33" customFormat="1" x14ac:dyDescent="0.25">
      <c r="A11" s="623"/>
      <c r="J11" s="456" t="s">
        <v>8738</v>
      </c>
      <c r="K11" s="458"/>
      <c r="L11" s="459"/>
      <c r="M11" s="459"/>
      <c r="N11" s="459"/>
      <c r="O11" s="459"/>
      <c r="P11" s="459"/>
      <c r="Q11" s="459"/>
      <c r="R11" s="460">
        <f>ROUND(R10/R9,3)</f>
        <v>-0.182</v>
      </c>
      <c r="X11" s="46"/>
      <c r="Y11" s="46"/>
      <c r="Z11" s="46"/>
      <c r="AA11" s="46"/>
      <c r="AB11" s="46"/>
      <c r="AC11" s="46"/>
      <c r="AD11" s="46"/>
    </row>
    <row r="12" spans="1:30" s="33" customFormat="1" x14ac:dyDescent="0.25">
      <c r="A12" s="623"/>
      <c r="E12" s="407"/>
      <c r="F12" s="454"/>
      <c r="J12" s="456"/>
      <c r="K12" s="458"/>
      <c r="L12" s="459"/>
      <c r="M12" s="459"/>
      <c r="N12" s="459"/>
      <c r="O12" s="459"/>
      <c r="P12" s="459"/>
      <c r="Q12" s="459"/>
      <c r="R12" s="461"/>
      <c r="X12" s="46"/>
      <c r="Y12" s="46"/>
      <c r="Z12" s="46"/>
      <c r="AA12" s="46"/>
      <c r="AB12" s="46"/>
      <c r="AC12" s="46"/>
      <c r="AD12" s="46"/>
    </row>
    <row r="13" spans="1:30" s="33" customFormat="1" x14ac:dyDescent="0.25">
      <c r="A13" s="623"/>
      <c r="C13" s="407"/>
      <c r="D13" s="454">
        <f>ROUND(R14*100,1)</f>
        <v>81</v>
      </c>
      <c r="J13" s="456" t="str">
        <f>"Assuming an average guest ticket of $"&amp;R13&amp;"*…"</f>
        <v>Assuming an average guest ticket of $43*…</v>
      </c>
      <c r="K13" s="458"/>
      <c r="L13" s="459"/>
      <c r="M13" s="459"/>
      <c r="N13" s="459"/>
      <c r="O13" s="459"/>
      <c r="P13" s="459"/>
      <c r="Q13" s="459"/>
      <c r="R13" s="462">
        <v>43</v>
      </c>
      <c r="X13" s="46"/>
      <c r="Y13" s="46"/>
      <c r="Z13" s="46"/>
      <c r="AA13" s="46"/>
      <c r="AB13" s="46"/>
      <c r="AC13" s="46"/>
      <c r="AD13" s="46"/>
    </row>
    <row r="14" spans="1:30" s="33" customFormat="1" x14ac:dyDescent="0.25">
      <c r="A14" s="623"/>
      <c r="C14" s="407"/>
      <c r="D14" s="454">
        <f>100-D13</f>
        <v>19</v>
      </c>
      <c r="J14" s="456" t="str">
        <f>"…consisting of "&amp;D13&amp;"% service sales (and "&amp;D14&amp;"% product sales)…"</f>
        <v>…consisting of 81% service sales (and 19% product sales)…</v>
      </c>
      <c r="K14" s="46"/>
      <c r="L14" s="46"/>
      <c r="M14" s="46"/>
      <c r="N14" s="46"/>
      <c r="O14" s="46"/>
      <c r="P14" s="46"/>
      <c r="Q14" s="46"/>
      <c r="R14" s="463">
        <v>0.81</v>
      </c>
      <c r="X14" s="46"/>
      <c r="Y14" s="46"/>
      <c r="Z14" s="46"/>
      <c r="AA14" s="46"/>
      <c r="AB14" s="46"/>
      <c r="AC14" s="46"/>
      <c r="AD14" s="46"/>
    </row>
    <row r="15" spans="1:30" s="33" customFormat="1" x14ac:dyDescent="0.25">
      <c r="A15" s="623"/>
      <c r="C15" s="407" t="s">
        <v>8739</v>
      </c>
      <c r="D15" s="454">
        <f>-ROUND(R10,1)</f>
        <v>14.7</v>
      </c>
      <c r="J15" s="456" t="str">
        <f>"…this $"&amp;D15&amp;"m chain-wide operating loss was generated by an average salon serving "&amp;R15&amp;" guests per day…"</f>
        <v>…this $14.7m chain-wide operating loss was generated by an average salon serving 25.2 guests per day…</v>
      </c>
      <c r="K15" s="46"/>
      <c r="L15" s="46"/>
      <c r="M15" s="46"/>
      <c r="N15" s="46"/>
      <c r="O15" s="46"/>
      <c r="P15" s="46"/>
      <c r="Q15" s="46"/>
      <c r="R15" s="464">
        <f>ROUND((R104*(R122/365)+Q104*(Q122/365)+P104*(P122/365)+O104*(O122/365)),1)</f>
        <v>25.2</v>
      </c>
      <c r="X15" s="46"/>
      <c r="Y15" s="46"/>
      <c r="Z15" s="46"/>
      <c r="AA15" s="46"/>
      <c r="AB15" s="46"/>
      <c r="AC15" s="46"/>
      <c r="AD15" s="46"/>
    </row>
    <row r="16" spans="1:30" s="33" customFormat="1" x14ac:dyDescent="0.25">
      <c r="A16" s="623"/>
      <c r="C16" s="407"/>
      <c r="D16" s="454"/>
      <c r="J16" s="465" t="str">
        <f>"…equivalent to $"&amp;R16&amp;" in average daily sales per salon"</f>
        <v>…equivalent to $1084 in average daily sales per salon</v>
      </c>
      <c r="K16" s="466"/>
      <c r="L16" s="467"/>
      <c r="M16" s="467"/>
      <c r="N16" s="467"/>
      <c r="O16" s="467"/>
      <c r="P16" s="467"/>
      <c r="Q16" s="467"/>
      <c r="R16" s="468">
        <f>ROUND((R203*R122/365+Q203*Q122/365+P203*P122/365+O203*O122/365),0)</f>
        <v>1084</v>
      </c>
      <c r="X16" s="46"/>
      <c r="Y16" s="46"/>
      <c r="Z16" s="46"/>
      <c r="AA16" s="46"/>
      <c r="AB16" s="46"/>
      <c r="AC16" s="46"/>
      <c r="AD16" s="46"/>
    </row>
    <row r="17" spans="1:30" s="33" customFormat="1" x14ac:dyDescent="0.25">
      <c r="A17" s="623"/>
      <c r="C17" s="407"/>
      <c r="D17" s="454"/>
      <c r="J17" s="424" t="s">
        <v>8740</v>
      </c>
      <c r="X17" s="46"/>
      <c r="Y17" s="46"/>
      <c r="Z17" s="46"/>
      <c r="AA17" s="46"/>
      <c r="AB17" s="46"/>
      <c r="AC17" s="46"/>
      <c r="AD17" s="46"/>
    </row>
    <row r="18" spans="1:30" s="33" customFormat="1" x14ac:dyDescent="0.25">
      <c r="A18" s="623"/>
      <c r="C18" s="407"/>
      <c r="D18" s="454"/>
      <c r="K18" s="424"/>
      <c r="L18" s="449"/>
      <c r="M18" s="449"/>
      <c r="N18" s="449"/>
      <c r="O18" s="449"/>
      <c r="P18" s="449"/>
      <c r="Q18" s="449"/>
      <c r="R18" s="453"/>
      <c r="X18" s="46"/>
      <c r="Y18" s="46"/>
      <c r="Z18" s="46"/>
      <c r="AA18" s="46"/>
      <c r="AB18" s="46"/>
      <c r="AC18" s="46"/>
      <c r="AD18" s="46"/>
    </row>
    <row r="19" spans="1:30" s="33" customFormat="1" x14ac:dyDescent="0.25">
      <c r="A19" s="624"/>
      <c r="C19" s="407"/>
      <c r="D19" s="454"/>
      <c r="J19" s="441" t="s">
        <v>8747</v>
      </c>
      <c r="K19" s="442"/>
      <c r="L19" s="443"/>
      <c r="M19" s="443"/>
      <c r="N19" s="443"/>
      <c r="O19" s="443"/>
      <c r="P19" s="443"/>
      <c r="Q19" s="443"/>
      <c r="R19" s="444"/>
      <c r="X19" s="46"/>
      <c r="Y19" s="46"/>
      <c r="Z19" s="46"/>
      <c r="AA19" s="46"/>
      <c r="AB19" s="46"/>
      <c r="AC19" s="46"/>
      <c r="AD19" s="46"/>
    </row>
    <row r="20" spans="1:30" s="46" customFormat="1" x14ac:dyDescent="0.25">
      <c r="A20" s="623"/>
      <c r="C20" s="407"/>
      <c r="D20" s="454"/>
      <c r="J20" s="439"/>
      <c r="K20" s="426"/>
      <c r="L20" s="427"/>
      <c r="M20" s="427"/>
      <c r="N20" s="427"/>
      <c r="O20" s="427"/>
      <c r="P20" s="427"/>
      <c r="Q20" s="427"/>
      <c r="R20" s="440"/>
    </row>
    <row r="21" spans="1:30" s="33" customFormat="1" x14ac:dyDescent="0.25">
      <c r="A21" s="622"/>
      <c r="J21" s="428" t="s">
        <v>8709</v>
      </c>
      <c r="K21" s="46"/>
      <c r="L21" s="429"/>
      <c r="M21" s="46"/>
      <c r="N21" s="429"/>
      <c r="O21" s="429"/>
      <c r="P21" s="429"/>
      <c r="Q21" s="429"/>
      <c r="R21" s="469">
        <f>R9</f>
        <v>80.592754887760478</v>
      </c>
      <c r="X21" s="46"/>
      <c r="Y21" s="46"/>
      <c r="Z21" s="46"/>
      <c r="AA21" s="46"/>
      <c r="AB21" s="46"/>
      <c r="AC21" s="46"/>
      <c r="AD21" s="46"/>
    </row>
    <row r="22" spans="1:30" s="33" customFormat="1" x14ac:dyDescent="0.25">
      <c r="A22" s="622"/>
      <c r="B22" s="395"/>
      <c r="J22" s="428" t="s">
        <v>8710</v>
      </c>
      <c r="K22" s="46"/>
      <c r="L22" s="429"/>
      <c r="M22" s="46"/>
      <c r="N22" s="429"/>
      <c r="O22" s="429"/>
      <c r="P22" s="429"/>
      <c r="Q22" s="429"/>
      <c r="R22" s="430">
        <v>0.11</v>
      </c>
      <c r="X22" s="46"/>
      <c r="Y22" s="46"/>
      <c r="Z22" s="46"/>
      <c r="AA22" s="46"/>
      <c r="AB22" s="46"/>
      <c r="AC22" s="46"/>
      <c r="AD22" s="46"/>
    </row>
    <row r="23" spans="1:30" s="33" customFormat="1" x14ac:dyDescent="0.25">
      <c r="B23" s="395"/>
      <c r="J23" s="431" t="s">
        <v>8721</v>
      </c>
      <c r="K23" s="46"/>
      <c r="L23" s="429"/>
      <c r="M23" s="46"/>
      <c r="N23" s="429"/>
      <c r="O23" s="429"/>
      <c r="P23" s="429"/>
      <c r="Q23" s="429"/>
      <c r="R23" s="450">
        <f>R9*R22</f>
        <v>8.8652030376536519</v>
      </c>
      <c r="X23" s="46"/>
      <c r="Y23" s="46"/>
      <c r="Z23" s="46"/>
      <c r="AA23" s="46"/>
      <c r="AB23" s="46"/>
      <c r="AC23" s="46"/>
      <c r="AD23" s="46"/>
    </row>
    <row r="24" spans="1:30" s="33" customFormat="1" x14ac:dyDescent="0.25">
      <c r="J24" s="433"/>
      <c r="K24" s="46"/>
      <c r="L24" s="429"/>
      <c r="M24" s="46"/>
      <c r="N24" s="429"/>
      <c r="O24" s="429"/>
      <c r="P24" s="429"/>
      <c r="Q24" s="429"/>
      <c r="R24" s="434"/>
      <c r="X24" s="46"/>
      <c r="Y24" s="46"/>
      <c r="Z24" s="46"/>
      <c r="AA24" s="46"/>
      <c r="AB24" s="46"/>
      <c r="AC24" s="46"/>
      <c r="AD24" s="46"/>
    </row>
    <row r="25" spans="1:30" s="33" customFormat="1" x14ac:dyDescent="0.25">
      <c r="J25" s="535" t="s">
        <v>8761</v>
      </c>
      <c r="K25" s="46"/>
      <c r="L25" s="429"/>
      <c r="M25" s="46"/>
      <c r="N25" s="429"/>
      <c r="O25" s="429"/>
      <c r="P25" s="429"/>
      <c r="Q25" s="429"/>
      <c r="R25" s="452">
        <v>5.85</v>
      </c>
      <c r="X25" s="46"/>
      <c r="Y25" s="46"/>
      <c r="Z25" s="46"/>
      <c r="AA25" s="46"/>
      <c r="AB25" s="46"/>
      <c r="AC25" s="46"/>
      <c r="AD25" s="46"/>
    </row>
    <row r="26" spans="1:30" s="33" customFormat="1" x14ac:dyDescent="0.25">
      <c r="J26" s="435" t="s">
        <v>8711</v>
      </c>
      <c r="K26" s="436"/>
      <c r="L26" s="437"/>
      <c r="M26" s="437"/>
      <c r="N26" s="437"/>
      <c r="O26" s="437"/>
      <c r="P26" s="437"/>
      <c r="Q26" s="437"/>
      <c r="R26" s="451">
        <f>ROUND(SUM(T173:W173),1)</f>
        <v>8.9</v>
      </c>
      <c r="X26" s="46"/>
      <c r="Y26" s="46"/>
      <c r="Z26" s="46"/>
      <c r="AA26" s="46"/>
      <c r="AB26" s="46"/>
      <c r="AC26" s="46"/>
      <c r="AD26" s="46"/>
    </row>
    <row r="27" spans="1:30" s="33" customFormat="1" x14ac:dyDescent="0.25">
      <c r="J27" s="389"/>
      <c r="L27" s="47"/>
      <c r="M27" s="47"/>
      <c r="N27" s="47"/>
      <c r="O27" s="47"/>
      <c r="P27" s="47"/>
      <c r="Q27" s="47"/>
      <c r="R27" s="391"/>
      <c r="X27" s="46"/>
      <c r="Y27" s="46"/>
      <c r="Z27" s="46"/>
      <c r="AA27" s="46"/>
      <c r="AB27" s="46"/>
      <c r="AC27" s="46"/>
      <c r="AD27" s="46"/>
    </row>
    <row r="28" spans="1:30" s="33" customFormat="1" x14ac:dyDescent="0.25">
      <c r="J28" s="447" t="str">
        <f>"To reach this chain-wide ROIC target, the average salon would need to serve around "&amp;D35&amp;" guests per day ("&amp;R15&amp;" existing + "&amp;R25&amp;" new)"</f>
        <v>To reach this chain-wide ROIC target, the average salon would need to serve around 31 guests per day (25.2 existing + 5.85 new)</v>
      </c>
      <c r="K28" s="445"/>
      <c r="L28" s="446"/>
      <c r="M28" s="446"/>
      <c r="N28" s="446"/>
      <c r="O28" s="446"/>
      <c r="P28" s="446"/>
      <c r="Q28" s="446"/>
      <c r="R28" s="448"/>
      <c r="X28" s="46"/>
      <c r="Y28" s="46"/>
      <c r="Z28" s="46"/>
      <c r="AA28" s="46"/>
      <c r="AB28" s="46"/>
      <c r="AC28" s="46"/>
      <c r="AD28" s="46"/>
    </row>
    <row r="29" spans="1:30" s="33" customFormat="1" x14ac:dyDescent="0.25">
      <c r="J29" s="439"/>
      <c r="K29" s="426"/>
      <c r="L29" s="426"/>
      <c r="M29" s="426"/>
      <c r="N29" s="426"/>
      <c r="O29" s="426"/>
      <c r="P29" s="426"/>
      <c r="Q29" s="426"/>
      <c r="R29" s="471"/>
      <c r="X29" s="46"/>
      <c r="Y29" s="46"/>
      <c r="Z29" s="46"/>
      <c r="AA29" s="46"/>
      <c r="AB29" s="46"/>
      <c r="AC29" s="46"/>
      <c r="AD29" s="46"/>
    </row>
    <row r="30" spans="1:30" s="33" customFormat="1" x14ac:dyDescent="0.25">
      <c r="J30" s="472" t="str">
        <f>"At a chainwide annual EBIT run-rate of $"&amp;R26&amp;"m, the average salon would generate around $"&amp;R33&amp;" in sales per day"</f>
        <v>At a chainwide annual EBIT run-rate of $8.9m, the average salon would generate around $1288 in sales per day</v>
      </c>
      <c r="K30" s="46"/>
      <c r="L30" s="429"/>
      <c r="M30" s="429"/>
      <c r="N30" s="429"/>
      <c r="O30" s="429"/>
      <c r="P30" s="429"/>
      <c r="Q30" s="429"/>
      <c r="R30" s="432"/>
      <c r="X30" s="46"/>
      <c r="Y30" s="46"/>
      <c r="Z30" s="46"/>
      <c r="AA30" s="46"/>
      <c r="AB30" s="46"/>
      <c r="AC30" s="46"/>
      <c r="AD30" s="46"/>
    </row>
    <row r="31" spans="1:30" s="33" customFormat="1" x14ac:dyDescent="0.25">
      <c r="J31" s="431" t="s">
        <v>97</v>
      </c>
      <c r="K31" s="46"/>
      <c r="L31" s="429"/>
      <c r="M31" s="429"/>
      <c r="N31" s="429"/>
      <c r="O31" s="429"/>
      <c r="P31" s="429"/>
      <c r="Q31" s="429"/>
      <c r="R31" s="473">
        <f>ROUND(Y201,0)</f>
        <v>1082</v>
      </c>
      <c r="X31" s="46"/>
      <c r="Y31" s="46"/>
      <c r="Z31" s="46"/>
      <c r="AA31" s="46"/>
      <c r="AB31" s="46"/>
      <c r="AC31" s="46"/>
      <c r="AD31" s="46"/>
    </row>
    <row r="32" spans="1:30" s="33" customFormat="1" x14ac:dyDescent="0.25">
      <c r="J32" s="472" t="s">
        <v>98</v>
      </c>
      <c r="K32" s="46"/>
      <c r="L32" s="429"/>
      <c r="M32" s="429"/>
      <c r="N32" s="429"/>
      <c r="O32" s="429"/>
      <c r="P32" s="429"/>
      <c r="Q32" s="429"/>
      <c r="R32" s="474">
        <f>ROUND(Y202,0)</f>
        <v>206</v>
      </c>
      <c r="X32" s="46"/>
      <c r="Y32" s="46"/>
      <c r="Z32" s="46"/>
      <c r="AA32" s="46"/>
      <c r="AB32" s="46"/>
      <c r="AC32" s="46"/>
      <c r="AD32" s="46"/>
    </row>
    <row r="33" spans="3:30" s="33" customFormat="1" x14ac:dyDescent="0.25">
      <c r="J33" s="472" t="s">
        <v>8717</v>
      </c>
      <c r="K33" s="46"/>
      <c r="L33" s="429"/>
      <c r="M33" s="429"/>
      <c r="N33" s="429"/>
      <c r="O33" s="429"/>
      <c r="P33" s="429"/>
      <c r="Q33" s="429"/>
      <c r="R33" s="473">
        <f>SUM(R31:R32)</f>
        <v>1288</v>
      </c>
      <c r="X33" s="46"/>
      <c r="Y33" s="46"/>
      <c r="Z33" s="46"/>
      <c r="AA33" s="46"/>
      <c r="AB33" s="46"/>
      <c r="AC33" s="46"/>
      <c r="AD33" s="46"/>
    </row>
    <row r="34" spans="3:30" s="33" customFormat="1" x14ac:dyDescent="0.25">
      <c r="J34" s="428"/>
      <c r="K34" s="46"/>
      <c r="L34" s="429"/>
      <c r="M34" s="429"/>
      <c r="N34" s="429"/>
      <c r="O34" s="429"/>
      <c r="P34" s="429"/>
      <c r="Q34" s="429"/>
      <c r="R34" s="432"/>
      <c r="X34" s="46"/>
      <c r="Y34" s="46"/>
      <c r="Z34" s="46"/>
      <c r="AA34" s="46"/>
      <c r="AB34" s="46"/>
      <c r="AC34" s="46"/>
      <c r="AD34" s="46"/>
    </row>
    <row r="35" spans="3:30" s="33" customFormat="1" x14ac:dyDescent="0.25">
      <c r="C35" s="407" t="s">
        <v>8725</v>
      </c>
      <c r="D35" s="404">
        <f>ROUND(Y104,0)</f>
        <v>31</v>
      </c>
      <c r="J35" s="428" t="str">
        <f>"At this level of daily sales, the average salon would be serving "&amp;D35&amp;" guests per day at an average check of $"&amp;R38</f>
        <v>At this level of daily sales, the average salon would be serving 31 guests per day at an average check of $41.47</v>
      </c>
      <c r="K35" s="46"/>
      <c r="L35" s="429"/>
      <c r="M35" s="429"/>
      <c r="N35" s="429"/>
      <c r="O35" s="429"/>
      <c r="P35" s="429"/>
      <c r="Q35" s="429"/>
      <c r="R35" s="432"/>
      <c r="X35" s="46"/>
      <c r="Y35" s="46"/>
      <c r="Z35" s="46"/>
      <c r="AA35" s="46"/>
      <c r="AB35" s="46"/>
      <c r="AC35" s="46"/>
      <c r="AD35" s="46"/>
    </row>
    <row r="36" spans="3:30" s="33" customFormat="1" x14ac:dyDescent="0.25">
      <c r="C36" s="408"/>
      <c r="J36" s="472" t="s">
        <v>8720</v>
      </c>
      <c r="K36" s="46"/>
      <c r="L36" s="429"/>
      <c r="M36" s="429"/>
      <c r="N36" s="429"/>
      <c r="O36" s="429"/>
      <c r="P36" s="429"/>
      <c r="Q36" s="429"/>
      <c r="R36" s="475">
        <f>ROUND(R31/Y104,2)</f>
        <v>34.840000000000003</v>
      </c>
      <c r="X36" s="46"/>
      <c r="Y36" s="46"/>
      <c r="Z36" s="46"/>
      <c r="AA36" s="46"/>
      <c r="AB36" s="46"/>
      <c r="AC36" s="46"/>
      <c r="AD36" s="46"/>
    </row>
    <row r="37" spans="3:30" s="33" customFormat="1" x14ac:dyDescent="0.25">
      <c r="C37" s="408"/>
      <c r="J37" s="472" t="s">
        <v>8719</v>
      </c>
      <c r="K37" s="46"/>
      <c r="L37" s="429"/>
      <c r="M37" s="429"/>
      <c r="N37" s="429"/>
      <c r="O37" s="429"/>
      <c r="P37" s="429"/>
      <c r="Q37" s="429"/>
      <c r="R37" s="476">
        <f>ROUND(R32/Y104,2)</f>
        <v>6.63</v>
      </c>
      <c r="X37" s="46"/>
      <c r="Y37" s="46"/>
      <c r="Z37" s="46"/>
      <c r="AA37" s="46"/>
      <c r="AB37" s="46"/>
      <c r="AC37" s="46"/>
      <c r="AD37" s="46"/>
    </row>
    <row r="38" spans="3:30" s="33" customFormat="1" x14ac:dyDescent="0.25">
      <c r="C38" s="408"/>
      <c r="J38" s="477" t="s">
        <v>8718</v>
      </c>
      <c r="K38" s="436"/>
      <c r="L38" s="437"/>
      <c r="M38" s="437"/>
      <c r="N38" s="437"/>
      <c r="O38" s="437"/>
      <c r="P38" s="437"/>
      <c r="Q38" s="437"/>
      <c r="R38" s="476">
        <f>ROUND(SUM(R36:R37),2)</f>
        <v>41.47</v>
      </c>
      <c r="X38" s="46"/>
      <c r="Y38" s="46"/>
      <c r="Z38" s="46"/>
      <c r="AA38" s="46"/>
      <c r="AB38" s="46"/>
      <c r="AC38" s="46"/>
      <c r="AD38" s="46"/>
    </row>
    <row r="39" spans="3:30" s="33" customFormat="1" x14ac:dyDescent="0.25">
      <c r="C39" s="408"/>
      <c r="J39" s="389"/>
      <c r="L39" s="47"/>
      <c r="M39" s="47"/>
      <c r="N39" s="47"/>
      <c r="O39" s="47"/>
      <c r="P39" s="47"/>
      <c r="Q39" s="47"/>
      <c r="R39" s="391"/>
      <c r="X39" s="46"/>
      <c r="Y39" s="46"/>
      <c r="Z39" s="46"/>
      <c r="AA39" s="46"/>
      <c r="AB39" s="46"/>
      <c r="AC39" s="46"/>
      <c r="AD39" s="46"/>
    </row>
    <row r="40" spans="3:30" s="33" customFormat="1" x14ac:dyDescent="0.25">
      <c r="C40" s="408"/>
      <c r="J40" s="447" t="str">
        <f>"Could Regis Salons mgmt. 'create' these "&amp;R25&amp;" new daily guests by pledging to rebate all profits earned on subsequent guests back to the salon teams?"</f>
        <v>Could Regis Salons mgmt. 'create' these 5.85 new daily guests by pledging to rebate all profits earned on subsequent guests back to the salon teams?</v>
      </c>
      <c r="K40" s="445"/>
      <c r="L40" s="446"/>
      <c r="M40" s="446"/>
      <c r="N40" s="446"/>
      <c r="O40" s="446"/>
      <c r="P40" s="446"/>
      <c r="Q40" s="446"/>
      <c r="R40" s="448"/>
      <c r="X40" s="46"/>
      <c r="Y40" s="46"/>
      <c r="Z40" s="46"/>
      <c r="AA40" s="46"/>
      <c r="AB40" s="46"/>
      <c r="AC40" s="46"/>
      <c r="AD40" s="46"/>
    </row>
    <row r="41" spans="3:30" s="33" customFormat="1" x14ac:dyDescent="0.25">
      <c r="C41" s="408"/>
      <c r="J41" s="425"/>
      <c r="K41" s="426"/>
      <c r="L41" s="427"/>
      <c r="M41" s="427"/>
      <c r="N41" s="427"/>
      <c r="O41" s="427"/>
      <c r="P41" s="427"/>
      <c r="Q41" s="427"/>
      <c r="R41" s="479"/>
      <c r="X41" s="46"/>
      <c r="Y41" s="46"/>
      <c r="Z41" s="46"/>
      <c r="AA41" s="46"/>
      <c r="AB41" s="46"/>
      <c r="AC41" s="46"/>
      <c r="AD41" s="46"/>
    </row>
    <row r="42" spans="3:30" s="33" customFormat="1" x14ac:dyDescent="0.25">
      <c r="C42" s="408"/>
      <c r="J42" s="472" t="str">
        <f>"Imagine if the salon teams knew that after the "&amp;D35&amp;"st guest served each day at an avg. check of $"&amp;R38&amp;"…"</f>
        <v>Imagine if the salon teams knew that after the 31st guest served each day at an avg. check of $41.47…</v>
      </c>
      <c r="K42" s="46"/>
      <c r="L42" s="46"/>
      <c r="M42" s="46"/>
      <c r="N42" s="46"/>
      <c r="O42" s="46"/>
      <c r="P42" s="46"/>
      <c r="Q42" s="429"/>
      <c r="R42" s="480"/>
      <c r="X42" s="46"/>
      <c r="Y42" s="46"/>
      <c r="Z42" s="46"/>
      <c r="AA42" s="46"/>
      <c r="AB42" s="46"/>
      <c r="AC42" s="46"/>
      <c r="AD42" s="46"/>
    </row>
    <row r="43" spans="3:30" s="33" customFormat="1" x14ac:dyDescent="0.25">
      <c r="C43" s="407" t="s">
        <v>8724</v>
      </c>
      <c r="D43" s="404">
        <f>ROUND(R43*100,1)</f>
        <v>90</v>
      </c>
      <c r="J43" s="428" t="str">
        <f>"...salon-level employees kept "&amp;D43&amp;"% of all additional service revenues vs. the typical 50-60% split with corporate…"</f>
        <v>...salon-level employees kept 90% of all additional service revenues vs. the typical 50-60% split with corporate…</v>
      </c>
      <c r="K43" s="46"/>
      <c r="L43" s="429"/>
      <c r="M43" s="429"/>
      <c r="N43" s="429"/>
      <c r="O43" s="429"/>
      <c r="P43" s="429"/>
      <c r="Q43" s="429"/>
      <c r="R43" s="481">
        <v>0.9</v>
      </c>
      <c r="X43" s="46"/>
      <c r="Y43" s="46"/>
      <c r="Z43" s="46"/>
      <c r="AA43" s="46"/>
      <c r="AB43" s="46"/>
      <c r="AC43" s="46"/>
      <c r="AD43" s="46"/>
    </row>
    <row r="44" spans="3:30" s="33" customFormat="1" x14ac:dyDescent="0.25">
      <c r="C44" s="407" t="s">
        <v>8723</v>
      </c>
      <c r="D44" s="404">
        <f>ROUND(R44*100,1)</f>
        <v>100</v>
      </c>
      <c r="J44" s="472" t="str">
        <f>"…and "&amp;D44&amp;"% of the gross profit on each additional product sold"</f>
        <v>…and 100% of the gross profit on each additional product sold</v>
      </c>
      <c r="K44" s="46"/>
      <c r="L44" s="429"/>
      <c r="M44" s="429"/>
      <c r="N44" s="429"/>
      <c r="O44" s="429"/>
      <c r="P44" s="429"/>
      <c r="Q44" s="429"/>
      <c r="R44" s="481">
        <v>1</v>
      </c>
      <c r="X44" s="46"/>
      <c r="Y44" s="46"/>
      <c r="Z44" s="46"/>
      <c r="AA44" s="46"/>
      <c r="AB44" s="46"/>
      <c r="AC44" s="46"/>
      <c r="AD44" s="46"/>
    </row>
    <row r="45" spans="3:30" s="33" customFormat="1" x14ac:dyDescent="0.25">
      <c r="C45" s="408"/>
      <c r="D45" s="404"/>
      <c r="J45" s="433"/>
      <c r="K45" s="46"/>
      <c r="L45" s="46"/>
      <c r="M45" s="46"/>
      <c r="N45" s="46"/>
      <c r="O45" s="46"/>
      <c r="P45" s="46"/>
      <c r="Q45" s="46"/>
      <c r="R45" s="480"/>
      <c r="X45" s="46"/>
      <c r="Y45" s="46"/>
      <c r="Z45" s="46"/>
      <c r="AA45" s="46"/>
      <c r="AB45" s="46"/>
      <c r="AC45" s="46"/>
      <c r="AD45" s="46"/>
    </row>
    <row r="46" spans="3:30" s="33" customFormat="1" x14ac:dyDescent="0.25">
      <c r="C46" s="407" t="s">
        <v>8726</v>
      </c>
      <c r="D46" s="404">
        <f>D35+1</f>
        <v>32</v>
      </c>
      <c r="J46" s="482" t="str">
        <f>"The salon teams would earn $"&amp;R46&amp;" on service sale #"&amp;D46&amp;"…"</f>
        <v>The salon teams would earn $31.36 on service sale #32…</v>
      </c>
      <c r="K46" s="46"/>
      <c r="L46" s="46"/>
      <c r="M46" s="46"/>
      <c r="N46" s="46"/>
      <c r="O46" s="46"/>
      <c r="P46" s="46"/>
      <c r="Q46" s="46"/>
      <c r="R46" s="483">
        <f>ROUND(R36*R43,2)</f>
        <v>31.36</v>
      </c>
      <c r="X46" s="46"/>
      <c r="Y46" s="46"/>
      <c r="Z46" s="46"/>
      <c r="AA46" s="46"/>
      <c r="AB46" s="46"/>
      <c r="AC46" s="46"/>
      <c r="AD46" s="46"/>
    </row>
    <row r="47" spans="3:30" s="33" customFormat="1" x14ac:dyDescent="0.25">
      <c r="C47" s="408"/>
      <c r="D47" s="404"/>
      <c r="J47" s="482" t="str">
        <f>"…versus just $"&amp;R47&amp;" on service sale #"&amp;D35&amp;"..."</f>
        <v>…versus just $17.42 on service sale #31...</v>
      </c>
      <c r="K47" s="46"/>
      <c r="L47" s="46"/>
      <c r="M47" s="46"/>
      <c r="N47" s="46"/>
      <c r="O47" s="46"/>
      <c r="P47" s="46"/>
      <c r="Q47" s="46"/>
      <c r="R47" s="475">
        <f>ROUND(R36*(1-R48),2)</f>
        <v>17.420000000000002</v>
      </c>
      <c r="X47" s="46"/>
      <c r="Y47" s="46"/>
      <c r="Z47" s="46"/>
      <c r="AA47" s="46"/>
      <c r="AB47" s="46"/>
      <c r="AC47" s="46"/>
      <c r="AD47" s="46"/>
    </row>
    <row r="48" spans="3:30" s="33" customFormat="1" x14ac:dyDescent="0.25">
      <c r="C48" s="407" t="s">
        <v>8722</v>
      </c>
      <c r="D48" s="404">
        <f>ROUND(R48*100,1)</f>
        <v>50</v>
      </c>
      <c r="J48" s="482" t="str">
        <f>"…assuming a "&amp;D48&amp;"% cut to corporate on service sales #1-#"&amp;D35&amp;" that no longer applies"</f>
        <v>…assuming a 50% cut to corporate on service sales #1-#31 that no longer applies</v>
      </c>
      <c r="K48" s="46"/>
      <c r="L48" s="46"/>
      <c r="M48" s="46"/>
      <c r="N48" s="46"/>
      <c r="O48" s="46"/>
      <c r="P48" s="46"/>
      <c r="Q48" s="46"/>
      <c r="R48" s="481">
        <v>0.5</v>
      </c>
      <c r="X48" s="46"/>
      <c r="Y48" s="46"/>
      <c r="Z48" s="46"/>
      <c r="AA48" s="46"/>
      <c r="AB48" s="46"/>
      <c r="AC48" s="46"/>
      <c r="AD48" s="46"/>
    </row>
    <row r="49" spans="3:30" s="33" customFormat="1" x14ac:dyDescent="0.25">
      <c r="J49" s="433"/>
      <c r="K49" s="46"/>
      <c r="L49" s="46"/>
      <c r="M49" s="46"/>
      <c r="N49" s="46"/>
      <c r="O49" s="46"/>
      <c r="P49" s="46"/>
      <c r="Q49" s="46"/>
      <c r="R49" s="480"/>
      <c r="X49" s="46"/>
      <c r="Y49" s="46"/>
      <c r="Z49" s="46"/>
      <c r="AA49" s="46"/>
      <c r="AB49" s="46"/>
      <c r="AC49" s="46"/>
      <c r="AD49" s="46"/>
    </row>
    <row r="50" spans="3:30" s="33" customFormat="1" x14ac:dyDescent="0.25">
      <c r="C50" s="407" t="s">
        <v>8727</v>
      </c>
      <c r="D50" s="404">
        <f>ROUND(R50*100,1)</f>
        <v>49.6</v>
      </c>
      <c r="J50" s="482" t="str">
        <f>"If a "&amp;D50&amp;"% gross margin is assumed for each product sale..."</f>
        <v>If a 49.6% gross margin is assumed for each product sale...</v>
      </c>
      <c r="K50" s="46"/>
      <c r="L50" s="46"/>
      <c r="M50" s="46"/>
      <c r="N50" s="46"/>
      <c r="O50" s="46"/>
      <c r="P50" s="46"/>
      <c r="Q50" s="46"/>
      <c r="R50" s="481">
        <f>1-Y115</f>
        <v>0.49640026186615382</v>
      </c>
      <c r="X50" s="46"/>
      <c r="Y50" s="46"/>
      <c r="Z50" s="46"/>
      <c r="AA50" s="46"/>
      <c r="AB50" s="46"/>
      <c r="AC50" s="46"/>
      <c r="AD50" s="46"/>
    </row>
    <row r="51" spans="3:30" s="33" customFormat="1" x14ac:dyDescent="0.25">
      <c r="J51" s="482" t="str">
        <f>"…the salon teams would earn $"&amp;R51&amp;" on product sale #"&amp;D46&amp;"…"</f>
        <v>…the salon teams would earn $3.29 on product sale #32…</v>
      </c>
      <c r="K51" s="46"/>
      <c r="L51" s="46"/>
      <c r="M51" s="46"/>
      <c r="N51" s="46"/>
      <c r="O51" s="46"/>
      <c r="P51" s="46"/>
      <c r="Q51" s="46"/>
      <c r="R51" s="483">
        <f>ROUND(R37*R50,2)</f>
        <v>3.29</v>
      </c>
      <c r="X51" s="46"/>
      <c r="Y51" s="46"/>
      <c r="Z51" s="46"/>
      <c r="AA51" s="46"/>
      <c r="AB51" s="46"/>
      <c r="AC51" s="46"/>
      <c r="AD51" s="46"/>
    </row>
    <row r="52" spans="3:30" s="33" customFormat="1" x14ac:dyDescent="0.25">
      <c r="J52" s="482" t="str">
        <f>"…which compares to the $"&amp;R52&amp;" the salon teams earned on product sale #"&amp;D35&amp;"…"</f>
        <v>…which compares to the $1.33 the salon teams earned on product sale #31…</v>
      </c>
      <c r="K52" s="46"/>
      <c r="L52" s="46"/>
      <c r="M52" s="46"/>
      <c r="N52" s="46"/>
      <c r="O52" s="46"/>
      <c r="P52" s="46"/>
      <c r="Q52" s="46"/>
      <c r="R52" s="475">
        <f>ROUND(R53*R37,2)</f>
        <v>1.33</v>
      </c>
      <c r="X52" s="46"/>
      <c r="Y52" s="46"/>
      <c r="Z52" s="46"/>
      <c r="AA52" s="46"/>
      <c r="AB52" s="46"/>
      <c r="AC52" s="46"/>
      <c r="AD52" s="46"/>
    </row>
    <row r="53" spans="3:30" s="33" customFormat="1" x14ac:dyDescent="0.25">
      <c r="C53" s="407" t="s">
        <v>8728</v>
      </c>
      <c r="D53" s="404">
        <f>ROUND(R53*100,1)</f>
        <v>20</v>
      </c>
      <c r="J53" s="482" t="str">
        <f>"…assuming a salon-level commission of "&amp;D53&amp;"% on product sales #1-#"&amp;D35</f>
        <v>…assuming a salon-level commission of 20% on product sales #1-#31</v>
      </c>
      <c r="K53" s="46"/>
      <c r="L53" s="46"/>
      <c r="M53" s="46"/>
      <c r="N53" s="46"/>
      <c r="O53" s="46"/>
      <c r="P53" s="46"/>
      <c r="Q53" s="46"/>
      <c r="R53" s="481">
        <v>0.2</v>
      </c>
      <c r="X53" s="46"/>
      <c r="Y53" s="46"/>
      <c r="Z53" s="46"/>
      <c r="AA53" s="46"/>
      <c r="AB53" s="46"/>
      <c r="AC53" s="46"/>
      <c r="AD53" s="46"/>
    </row>
    <row r="54" spans="3:30" s="33" customFormat="1" x14ac:dyDescent="0.25">
      <c r="J54" s="433"/>
      <c r="K54" s="46"/>
      <c r="L54" s="46"/>
      <c r="M54" s="46"/>
      <c r="N54" s="46"/>
      <c r="O54" s="46"/>
      <c r="P54" s="46"/>
      <c r="Q54" s="46"/>
      <c r="R54" s="480"/>
      <c r="X54" s="46"/>
      <c r="Y54" s="46"/>
      <c r="Z54" s="46"/>
      <c r="AA54" s="46"/>
      <c r="AB54" s="46"/>
      <c r="AC54" s="46"/>
      <c r="AD54" s="46"/>
    </row>
    <row r="55" spans="3:30" s="33" customFormat="1" x14ac:dyDescent="0.25">
      <c r="C55" s="407" t="s">
        <v>8729</v>
      </c>
      <c r="D55" s="404">
        <f>ROUND(R55*100,0)</f>
        <v>84</v>
      </c>
      <c r="J55" s="431" t="str">
        <f>"In summary, under the proposed incentive structure, salon teams would earn "&amp;D55&amp;"% of daily guest checks #"&amp;D46&amp;" and higher…"</f>
        <v>In summary, under the proposed incentive structure, salon teams would earn 84% of daily guest checks #32 and higher…</v>
      </c>
      <c r="K55" s="46"/>
      <c r="L55" s="46"/>
      <c r="M55" s="46"/>
      <c r="N55" s="46"/>
      <c r="O55" s="46"/>
      <c r="P55" s="46"/>
      <c r="Q55" s="46"/>
      <c r="R55" s="484">
        <f>ROUND((R46+R51)/R38,2)</f>
        <v>0.84</v>
      </c>
      <c r="X55" s="46"/>
      <c r="Y55" s="46"/>
      <c r="Z55" s="46"/>
      <c r="AA55" s="46"/>
      <c r="AB55" s="46"/>
      <c r="AC55" s="46"/>
      <c r="AD55" s="46"/>
    </row>
    <row r="56" spans="3:30" s="33" customFormat="1" x14ac:dyDescent="0.25">
      <c r="C56" s="407" t="s">
        <v>8730</v>
      </c>
      <c r="D56" s="404">
        <f>ROUND(R56*100,0)</f>
        <v>45</v>
      </c>
      <c r="J56" s="431" t="str">
        <f>"...versus an estimated "&amp;D56&amp;"% on daily guest checks #1-#"&amp;D35</f>
        <v>...versus an estimated 45% on daily guest checks #1-#31</v>
      </c>
      <c r="K56" s="46"/>
      <c r="L56" s="46"/>
      <c r="M56" s="46"/>
      <c r="N56" s="46"/>
      <c r="O56" s="46"/>
      <c r="P56" s="46"/>
      <c r="Q56" s="46"/>
      <c r="R56" s="484">
        <f>ROUND((R47+R52)/R38,2)</f>
        <v>0.45</v>
      </c>
      <c r="X56" s="46"/>
      <c r="Y56" s="46"/>
      <c r="Z56" s="46"/>
      <c r="AA56" s="46"/>
      <c r="AB56" s="46"/>
      <c r="AC56" s="46"/>
      <c r="AD56" s="46"/>
    </row>
    <row r="57" spans="3:30" s="33" customFormat="1" x14ac:dyDescent="0.25">
      <c r="C57" s="407"/>
      <c r="D57" s="404"/>
      <c r="J57" s="431"/>
      <c r="K57" s="46"/>
      <c r="L57" s="46"/>
      <c r="M57" s="46"/>
      <c r="N57" s="46"/>
      <c r="O57" s="46"/>
      <c r="P57" s="46"/>
      <c r="Q57" s="46"/>
      <c r="R57" s="484"/>
      <c r="X57" s="46"/>
      <c r="Y57" s="46"/>
      <c r="Z57" s="46"/>
      <c r="AA57" s="46"/>
      <c r="AB57" s="46"/>
      <c r="AC57" s="46"/>
      <c r="AD57" s="46"/>
    </row>
    <row r="58" spans="3:30" s="33" customFormat="1" x14ac:dyDescent="0.25">
      <c r="J58" s="465" t="str">
        <f>"Would this arrangement incentivize salon-level team members to attract and serve at least "&amp;R25&amp;" additional guests per day?"</f>
        <v>Would this arrangement incentivize salon-level team members to attract and serve at least 5.85 additional guests per day?</v>
      </c>
      <c r="K58" s="436"/>
      <c r="L58" s="436"/>
      <c r="M58" s="436"/>
      <c r="N58" s="436"/>
      <c r="O58" s="436"/>
      <c r="P58" s="436"/>
      <c r="Q58" s="436"/>
      <c r="R58" s="485"/>
      <c r="X58" s="46"/>
      <c r="Y58" s="46"/>
      <c r="Z58" s="46"/>
      <c r="AA58" s="46"/>
      <c r="AB58" s="46"/>
      <c r="AC58" s="46"/>
      <c r="AD58" s="46"/>
    </row>
    <row r="59" spans="3:30" s="33" customFormat="1" x14ac:dyDescent="0.25">
      <c r="X59" s="46"/>
      <c r="Y59" s="46"/>
      <c r="Z59" s="46"/>
      <c r="AA59" s="46"/>
      <c r="AB59" s="46"/>
      <c r="AC59" s="46"/>
      <c r="AD59" s="46"/>
    </row>
    <row r="60" spans="3:30" s="33" customFormat="1" x14ac:dyDescent="0.25">
      <c r="J60" s="447" t="s">
        <v>8748</v>
      </c>
      <c r="K60" s="445"/>
      <c r="L60" s="446"/>
      <c r="M60" s="446"/>
      <c r="N60" s="446"/>
      <c r="O60" s="446"/>
      <c r="P60" s="446"/>
      <c r="Q60" s="446"/>
      <c r="R60" s="448"/>
      <c r="X60" s="46"/>
      <c r="Y60" s="46"/>
      <c r="Z60" s="46"/>
      <c r="AA60" s="46"/>
      <c r="AB60" s="46"/>
      <c r="AC60" s="46"/>
      <c r="AD60" s="46"/>
    </row>
    <row r="61" spans="3:30" s="33" customFormat="1" x14ac:dyDescent="0.25">
      <c r="J61" s="486"/>
      <c r="K61" s="282"/>
      <c r="L61" s="487"/>
      <c r="M61" s="487"/>
      <c r="N61" s="487"/>
      <c r="O61" s="487"/>
      <c r="P61" s="487"/>
      <c r="Q61" s="487"/>
      <c r="R61" s="488"/>
      <c r="X61" s="46"/>
      <c r="Y61" s="46"/>
      <c r="Z61" s="46"/>
      <c r="AA61" s="46"/>
      <c r="AB61" s="46"/>
      <c r="AC61" s="46"/>
      <c r="AD61" s="46"/>
    </row>
    <row r="62" spans="3:30" s="33" customFormat="1" x14ac:dyDescent="0.25">
      <c r="J62" s="431" t="str">
        <f>"If we assume "&amp;R62&amp;" salon team members are needed each day to run a Regis Salon…"</f>
        <v>If we assume 4 salon team members are needed each day to run a Regis Salon…</v>
      </c>
      <c r="K62" s="46"/>
      <c r="L62" s="46"/>
      <c r="M62" s="46"/>
      <c r="N62" s="46"/>
      <c r="O62" s="46"/>
      <c r="P62" s="46"/>
      <c r="Q62" s="46"/>
      <c r="R62" s="489">
        <v>4</v>
      </c>
      <c r="X62" s="46"/>
      <c r="Y62" s="46"/>
      <c r="Z62" s="46"/>
      <c r="AA62" s="46"/>
      <c r="AB62" s="46"/>
      <c r="AC62" s="46"/>
      <c r="AD62" s="46"/>
    </row>
    <row r="63" spans="3:30" s="33" customFormat="1" x14ac:dyDescent="0.25">
      <c r="J63" s="431" t="str">
        <f>"…each salon team member would be serving "&amp;R63&amp;" of the "&amp;D35&amp;" daily guests needed to reach Regis Salons' EBIT target"</f>
        <v>…each salon team member would be serving 8 of the 31 daily guests needed to reach Regis Salons' EBIT target</v>
      </c>
      <c r="K63" s="46"/>
      <c r="L63" s="46"/>
      <c r="M63" s="46"/>
      <c r="N63" s="46"/>
      <c r="O63" s="46"/>
      <c r="P63" s="46"/>
      <c r="Q63" s="46"/>
      <c r="R63" s="490">
        <f>ROUND(D35/4,0)</f>
        <v>8</v>
      </c>
      <c r="X63" s="46"/>
      <c r="Y63" s="46"/>
      <c r="Z63" s="46"/>
      <c r="AA63" s="46"/>
      <c r="AB63" s="46"/>
      <c r="AC63" s="46"/>
      <c r="AD63" s="46"/>
    </row>
    <row r="64" spans="3:30" s="33" customFormat="1" x14ac:dyDescent="0.25">
      <c r="J64" s="433"/>
      <c r="K64" s="46"/>
      <c r="L64" s="46"/>
      <c r="M64" s="46"/>
      <c r="N64" s="46"/>
      <c r="O64" s="46"/>
      <c r="P64" s="46"/>
      <c r="Q64" s="46"/>
      <c r="R64" s="480"/>
      <c r="X64" s="46"/>
      <c r="Y64" s="46"/>
      <c r="Z64" s="46"/>
      <c r="AA64" s="46"/>
      <c r="AB64" s="46"/>
      <c r="AC64" s="46"/>
      <c r="AD64" s="46"/>
    </row>
    <row r="65" spans="10:30" s="33" customFormat="1" x14ac:dyDescent="0.25">
      <c r="J65" s="431" t="str">
        <f>"If each of these "&amp;R62&amp;" team members served "&amp;R65&amp;" additional 'average' guest(s) per day after guest #"&amp;D35&amp;"…"</f>
        <v>If each of these 4 team members served 1 additional 'average' guest(s) per day after guest #31…</v>
      </c>
      <c r="K65" s="46"/>
      <c r="L65" s="46"/>
      <c r="M65" s="46"/>
      <c r="N65" s="46"/>
      <c r="O65" s="46"/>
      <c r="P65" s="46"/>
      <c r="Q65" s="46"/>
      <c r="R65" s="489">
        <v>1</v>
      </c>
      <c r="X65" s="46"/>
      <c r="Y65" s="46"/>
      <c r="Z65" s="46"/>
      <c r="AA65" s="46"/>
      <c r="AB65" s="46"/>
      <c r="AC65" s="46"/>
      <c r="AD65" s="46"/>
    </row>
    <row r="66" spans="10:30" s="33" customFormat="1" x14ac:dyDescent="0.25">
      <c r="J66" s="431" t="str">
        <f>"…the salon team would earn an additional $"&amp;R66&amp;" per day on service..."</f>
        <v>…the salon team would earn an additional $125 per day on service...</v>
      </c>
      <c r="K66" s="46"/>
      <c r="L66" s="46"/>
      <c r="M66" s="46"/>
      <c r="N66" s="46"/>
      <c r="O66" s="46"/>
      <c r="P66" s="46"/>
      <c r="Q66" s="46"/>
      <c r="R66" s="491">
        <f>ROUND(R46*R62*R65,0)</f>
        <v>125</v>
      </c>
      <c r="X66" s="46"/>
      <c r="Y66" s="46"/>
      <c r="Z66" s="46"/>
      <c r="AA66" s="46"/>
      <c r="AB66" s="46"/>
      <c r="AC66" s="46"/>
      <c r="AD66" s="46"/>
    </row>
    <row r="67" spans="10:30" s="33" customFormat="1" x14ac:dyDescent="0.25">
      <c r="J67" s="456" t="str">
        <f>"…and another $"&amp;R67&amp;" per day on product sales"</f>
        <v>…and another $13 per day on product sales</v>
      </c>
      <c r="K67" s="46"/>
      <c r="L67" s="46"/>
      <c r="M67" s="46"/>
      <c r="N67" s="46"/>
      <c r="O67" s="46"/>
      <c r="P67" s="46"/>
      <c r="Q67" s="46"/>
      <c r="R67" s="491">
        <f>ROUND(R51*R62*R65,0)</f>
        <v>13</v>
      </c>
      <c r="X67" s="46"/>
      <c r="Y67" s="46"/>
      <c r="Z67" s="46"/>
      <c r="AA67" s="46"/>
      <c r="AB67" s="46"/>
      <c r="AC67" s="46"/>
      <c r="AD67" s="46"/>
    </row>
    <row r="68" spans="10:30" s="33" customFormat="1" x14ac:dyDescent="0.25">
      <c r="J68" s="433"/>
      <c r="K68" s="46"/>
      <c r="L68" s="46"/>
      <c r="M68" s="46"/>
      <c r="N68" s="46"/>
      <c r="O68" s="46"/>
      <c r="P68" s="46"/>
      <c r="Q68" s="46"/>
      <c r="R68" s="480"/>
      <c r="X68" s="46"/>
      <c r="Y68" s="46"/>
      <c r="Z68" s="46"/>
      <c r="AA68" s="46"/>
      <c r="AB68" s="46"/>
      <c r="AC68" s="46"/>
      <c r="AD68" s="46"/>
    </row>
    <row r="69" spans="10:30" s="33" customFormat="1" x14ac:dyDescent="0.25">
      <c r="J69" s="431" t="str">
        <f>"Over the course of a "&amp;R69&amp;"-day working year…"</f>
        <v>Over the course of a 355-day working year…</v>
      </c>
      <c r="K69" s="46"/>
      <c r="L69" s="46"/>
      <c r="M69" s="46"/>
      <c r="N69" s="46"/>
      <c r="O69" s="46"/>
      <c r="P69" s="46"/>
      <c r="Q69" s="46"/>
      <c r="R69" s="489">
        <v>355</v>
      </c>
      <c r="X69" s="46"/>
      <c r="Y69" s="46"/>
      <c r="Z69" s="46"/>
      <c r="AA69" s="46"/>
      <c r="AB69" s="46"/>
      <c r="AC69" s="46"/>
      <c r="AD69" s="46"/>
    </row>
    <row r="70" spans="10:30" s="33" customFormat="1" x14ac:dyDescent="0.25">
      <c r="J70" s="431" t="str">
        <f>"…the salon team would earn an extra $"&amp;R70</f>
        <v>…the salon team would earn an extra $48990</v>
      </c>
      <c r="K70" s="46"/>
      <c r="L70" s="46"/>
      <c r="M70" s="46"/>
      <c r="N70" s="46"/>
      <c r="O70" s="46"/>
      <c r="P70" s="46"/>
      <c r="Q70" s="46"/>
      <c r="R70" s="491">
        <f>ROUND((R66+R67)*R69,0)</f>
        <v>48990</v>
      </c>
      <c r="X70" s="46"/>
      <c r="Y70" s="46"/>
      <c r="Z70" s="46"/>
      <c r="AA70" s="46"/>
      <c r="AB70" s="46"/>
      <c r="AC70" s="46"/>
      <c r="AD70" s="46"/>
    </row>
    <row r="71" spans="10:30" s="33" customFormat="1" x14ac:dyDescent="0.25">
      <c r="J71" s="433"/>
      <c r="K71" s="46"/>
      <c r="L71" s="46"/>
      <c r="M71" s="46"/>
      <c r="N71" s="46"/>
      <c r="O71" s="46"/>
      <c r="P71" s="46"/>
      <c r="Q71" s="46"/>
      <c r="R71" s="480"/>
      <c r="X71" s="46"/>
      <c r="Y71" s="46"/>
      <c r="Z71" s="46"/>
      <c r="AA71" s="46"/>
      <c r="AB71" s="46"/>
      <c r="AC71" s="46"/>
      <c r="AD71" s="46"/>
    </row>
    <row r="72" spans="10:30" s="33" customFormat="1" x14ac:dyDescent="0.25">
      <c r="J72" s="431" t="str">
        <f>"Assuming it takes a total of "&amp;R72&amp;" full-time (~40 hours) salon team members to run a salon for a year…"</f>
        <v>Assuming it takes a total of 8 full-time (~40 hours) salon team members to run a salon for a year…</v>
      </c>
      <c r="K72" s="46"/>
      <c r="L72" s="46"/>
      <c r="M72" s="46"/>
      <c r="N72" s="46"/>
      <c r="O72" s="46"/>
      <c r="P72" s="46"/>
      <c r="Q72" s="46"/>
      <c r="R72" s="489">
        <v>8</v>
      </c>
      <c r="X72" s="46"/>
      <c r="Y72" s="46"/>
      <c r="Z72" s="46"/>
      <c r="AA72" s="46"/>
      <c r="AB72" s="46"/>
      <c r="AC72" s="46"/>
      <c r="AD72" s="46"/>
    </row>
    <row r="73" spans="10:30" s="33" customFormat="1" x14ac:dyDescent="0.25">
      <c r="J73" s="431" t="str">
        <f>"…the rebate per salon team member for the full year would equal $"&amp;R73</f>
        <v>…the rebate per salon team member for the full year would equal $6124</v>
      </c>
      <c r="K73" s="46"/>
      <c r="L73" s="46"/>
      <c r="M73" s="46"/>
      <c r="N73" s="46"/>
      <c r="O73" s="46"/>
      <c r="P73" s="46"/>
      <c r="Q73" s="46"/>
      <c r="R73" s="491">
        <f>ROUND(R70/R72,0)</f>
        <v>6124</v>
      </c>
      <c r="X73" s="46"/>
      <c r="Y73" s="46"/>
      <c r="Z73" s="46"/>
      <c r="AA73" s="46"/>
      <c r="AB73" s="46"/>
      <c r="AC73" s="46"/>
      <c r="AD73" s="46"/>
    </row>
    <row r="74" spans="10:30" s="33" customFormat="1" x14ac:dyDescent="0.25">
      <c r="J74" s="492" t="str">
        <f>"…or an additional $"&amp;R74&amp;" per hour worked"</f>
        <v>…or an additional $3.14 per hour worked</v>
      </c>
      <c r="K74" s="436"/>
      <c r="L74" s="436"/>
      <c r="M74" s="436"/>
      <c r="N74" s="436"/>
      <c r="O74" s="436"/>
      <c r="P74" s="436"/>
      <c r="Q74" s="436"/>
      <c r="R74" s="493">
        <f>ROUND(R73/R81,2)</f>
        <v>3.14</v>
      </c>
      <c r="X74" s="46"/>
      <c r="Y74" s="46"/>
      <c r="Z74" s="46"/>
      <c r="AA74" s="46"/>
      <c r="AB74" s="46"/>
      <c r="AC74" s="46"/>
      <c r="AD74" s="46"/>
    </row>
    <row r="75" spans="10:30" s="33" customFormat="1" ht="15" hidden="1" customHeight="1" outlineLevel="1" x14ac:dyDescent="0.25">
      <c r="J75" s="51"/>
      <c r="X75" s="46"/>
      <c r="Y75" s="46"/>
      <c r="Z75" s="46"/>
      <c r="AA75" s="46"/>
      <c r="AB75" s="46"/>
      <c r="AC75" s="46"/>
      <c r="AD75" s="46"/>
    </row>
    <row r="76" spans="10:30" s="33" customFormat="1" ht="15" hidden="1" customHeight="1" outlineLevel="1" x14ac:dyDescent="0.25">
      <c r="J76" s="447" t="s">
        <v>8731</v>
      </c>
      <c r="K76" s="445"/>
      <c r="L76" s="445"/>
      <c r="M76" s="445"/>
      <c r="N76" s="445"/>
      <c r="O76" s="445"/>
      <c r="P76" s="445"/>
      <c r="Q76" s="445"/>
      <c r="R76" s="478"/>
      <c r="X76" s="46"/>
      <c r="Y76" s="46"/>
      <c r="Z76" s="46"/>
      <c r="AA76" s="46"/>
      <c r="AB76" s="46"/>
      <c r="AC76" s="46"/>
      <c r="AD76" s="46"/>
    </row>
    <row r="77" spans="10:30" s="33" customFormat="1" ht="15" hidden="1" customHeight="1" outlineLevel="1" x14ac:dyDescent="0.25">
      <c r="J77" s="439"/>
      <c r="K77" s="426"/>
      <c r="L77" s="426"/>
      <c r="M77" s="426"/>
      <c r="N77" s="426"/>
      <c r="O77" s="426"/>
      <c r="P77" s="426"/>
      <c r="Q77" s="426"/>
      <c r="R77" s="471"/>
      <c r="X77" s="46"/>
      <c r="Y77" s="46"/>
      <c r="Z77" s="46"/>
      <c r="AA77" s="46"/>
      <c r="AB77" s="46"/>
      <c r="AC77" s="46"/>
      <c r="AD77" s="46"/>
    </row>
    <row r="78" spans="10:30" s="33" customFormat="1" ht="15" hidden="1" customHeight="1" outlineLevel="1" x14ac:dyDescent="0.25">
      <c r="J78" s="431" t="str">
        <f>"If we assume an average salon working day of "&amp;R78&amp;" hours…"</f>
        <v>If we assume an average salon working day of 11 hours…</v>
      </c>
      <c r="K78" s="46"/>
      <c r="L78" s="46"/>
      <c r="M78" s="46"/>
      <c r="N78" s="46"/>
      <c r="O78" s="46"/>
      <c r="P78" s="46"/>
      <c r="Q78" s="46"/>
      <c r="R78" s="489">
        <f>(11.5*6+8*1)/7</f>
        <v>11</v>
      </c>
      <c r="X78" s="46"/>
      <c r="Y78" s="46"/>
      <c r="Z78" s="46"/>
      <c r="AA78" s="46"/>
      <c r="AB78" s="46"/>
      <c r="AC78" s="46"/>
      <c r="AD78" s="46"/>
    </row>
    <row r="79" spans="10:30" s="33" customFormat="1" ht="15" hidden="1" customHeight="1" outlineLevel="1" x14ac:dyDescent="0.25">
      <c r="J79" s="431" t="str">
        <f>"…each salon would be open for a total of "&amp;R79&amp;" hours per year..."</f>
        <v>…each salon would be open for a total of 3905 hours per year...</v>
      </c>
      <c r="K79" s="46"/>
      <c r="L79" s="46"/>
      <c r="M79" s="46"/>
      <c r="N79" s="46"/>
      <c r="O79" s="46"/>
      <c r="P79" s="46"/>
      <c r="Q79" s="46"/>
      <c r="R79" s="494">
        <f>R69*R78</f>
        <v>3905</v>
      </c>
      <c r="X79" s="46"/>
      <c r="Y79" s="46"/>
      <c r="Z79" s="46"/>
      <c r="AA79" s="46"/>
      <c r="AB79" s="46"/>
      <c r="AC79" s="46"/>
      <c r="AD79" s="46"/>
    </row>
    <row r="80" spans="10:30" s="33" customFormat="1" ht="15" hidden="1" customHeight="1" outlineLevel="1" x14ac:dyDescent="0.25">
      <c r="J80" s="431" t="str">
        <f>"…and assuming it takes a "&amp;R62&amp;"-person team to staff the salon each day, each salon requires "&amp;R80&amp;" labor hours per year..."</f>
        <v>…and assuming it takes a 4-person team to staff the salon each day, each salon requires 15620 labor hours per year...</v>
      </c>
      <c r="K80" s="46"/>
      <c r="L80" s="46"/>
      <c r="M80" s="46"/>
      <c r="N80" s="46"/>
      <c r="O80" s="46"/>
      <c r="P80" s="46"/>
      <c r="Q80" s="46"/>
      <c r="R80" s="494">
        <f>R69*R62*R78</f>
        <v>15620</v>
      </c>
      <c r="X80" s="46"/>
      <c r="Y80" s="46"/>
      <c r="Z80" s="46"/>
      <c r="AA80" s="46"/>
      <c r="AB80" s="46"/>
      <c r="AC80" s="46"/>
      <c r="AD80" s="46"/>
    </row>
    <row r="81" spans="3:30" s="33" customFormat="1" ht="15" hidden="1" customHeight="1" outlineLevel="1" x14ac:dyDescent="0.25">
      <c r="J81" s="431" t="str">
        <f>"…which equates to an average of "&amp;R81&amp;" hours worked per team member per year…"</f>
        <v>…which equates to an average of 1953 hours worked per team member per year…</v>
      </c>
      <c r="K81" s="46"/>
      <c r="L81" s="46"/>
      <c r="M81" s="46"/>
      <c r="N81" s="46"/>
      <c r="O81" s="46"/>
      <c r="P81" s="46"/>
      <c r="Q81" s="46"/>
      <c r="R81" s="494">
        <f>ROUND(R80/R72,0)</f>
        <v>1953</v>
      </c>
      <c r="X81" s="46"/>
      <c r="Y81" s="46"/>
      <c r="Z81" s="46"/>
      <c r="AA81" s="46"/>
      <c r="AB81" s="46"/>
      <c r="AC81" s="46"/>
      <c r="AD81" s="46"/>
    </row>
    <row r="82" spans="3:30" s="33" customFormat="1" ht="15" hidden="1" customHeight="1" outlineLevel="1" x14ac:dyDescent="0.25">
      <c r="J82" s="492" t="str">
        <f>"…or "&amp;R82&amp;" hours per week"</f>
        <v>…or 39 hours per week</v>
      </c>
      <c r="K82" s="495"/>
      <c r="L82" s="495"/>
      <c r="M82" s="495"/>
      <c r="N82" s="495"/>
      <c r="O82" s="495"/>
      <c r="P82" s="495"/>
      <c r="Q82" s="495"/>
      <c r="R82" s="496">
        <f>ROUND(R81/50,0)</f>
        <v>39</v>
      </c>
      <c r="X82" s="46"/>
      <c r="Y82" s="46"/>
      <c r="Z82" s="46"/>
      <c r="AA82" s="46"/>
      <c r="AB82" s="46"/>
      <c r="AC82" s="46"/>
      <c r="AD82" s="46"/>
    </row>
    <row r="83" spans="3:30" s="33" customFormat="1" collapsed="1" x14ac:dyDescent="0.25">
      <c r="J83" s="406"/>
      <c r="K83" s="405"/>
      <c r="L83" s="405"/>
      <c r="M83" s="405"/>
      <c r="N83" s="405"/>
      <c r="O83" s="405"/>
      <c r="P83" s="405"/>
      <c r="Q83" s="405"/>
      <c r="R83" s="405"/>
      <c r="X83" s="46"/>
      <c r="Y83" s="46"/>
      <c r="Z83" s="46"/>
      <c r="AA83" s="46"/>
      <c r="AB83" s="46"/>
      <c r="AC83" s="46"/>
      <c r="AD83" s="46"/>
    </row>
    <row r="84" spans="3:30" s="33" customFormat="1" x14ac:dyDescent="0.25">
      <c r="J84" s="414" t="str">
        <f>"How should the $"&amp;R70&amp;" annual salon team rebate be split to best incentivize salons to grow guest counts quickly?"</f>
        <v>How should the $48990 annual salon team rebate be split to best incentivize salons to grow guest counts quickly?</v>
      </c>
      <c r="K84" s="445"/>
      <c r="L84" s="446"/>
      <c r="M84" s="446"/>
      <c r="N84" s="446"/>
      <c r="O84" s="446"/>
      <c r="P84" s="446"/>
      <c r="Q84" s="446"/>
      <c r="R84" s="448"/>
      <c r="X84" s="46"/>
      <c r="Y84" s="46"/>
      <c r="Z84" s="46"/>
      <c r="AA84" s="46"/>
      <c r="AB84" s="46"/>
      <c r="AC84" s="46"/>
      <c r="AD84" s="46"/>
    </row>
    <row r="85" spans="3:30" s="33" customFormat="1" x14ac:dyDescent="0.25">
      <c r="J85" s="439"/>
      <c r="K85" s="497"/>
      <c r="L85" s="497"/>
      <c r="M85" s="497"/>
      <c r="N85" s="497"/>
      <c r="O85" s="497"/>
      <c r="P85" s="497"/>
      <c r="Q85" s="497"/>
      <c r="R85" s="498"/>
      <c r="X85" s="46"/>
      <c r="Y85" s="46"/>
      <c r="Z85" s="46"/>
      <c r="AA85" s="46"/>
      <c r="AB85" s="46"/>
      <c r="AC85" s="46"/>
      <c r="AD85" s="46"/>
    </row>
    <row r="86" spans="3:30" s="33" customFormat="1" x14ac:dyDescent="0.25">
      <c r="J86" s="431" t="s">
        <v>8733</v>
      </c>
      <c r="K86" s="499"/>
      <c r="L86" s="499"/>
      <c r="M86" s="499"/>
      <c r="N86" s="499"/>
      <c r="O86" s="499"/>
      <c r="P86" s="499"/>
      <c r="Q86" s="499"/>
      <c r="R86" s="500"/>
      <c r="X86" s="46"/>
      <c r="Y86" s="46"/>
      <c r="Z86" s="46"/>
      <c r="AA86" s="46"/>
      <c r="AB86" s="46"/>
      <c r="AC86" s="46"/>
      <c r="AD86" s="46"/>
    </row>
    <row r="87" spans="3:30" s="33" customFormat="1" x14ac:dyDescent="0.25">
      <c r="J87" s="431"/>
      <c r="K87" s="499"/>
      <c r="L87" s="499"/>
      <c r="M87" s="499"/>
      <c r="N87" s="499"/>
      <c r="O87" s="499"/>
      <c r="P87" s="499"/>
      <c r="Q87" s="499"/>
      <c r="R87" s="500"/>
      <c r="X87" s="46"/>
      <c r="Y87" s="46"/>
      <c r="Z87" s="46"/>
      <c r="AA87" s="46"/>
      <c r="AB87" s="46"/>
      <c r="AC87" s="46"/>
      <c r="AD87" s="46"/>
    </row>
    <row r="88" spans="3:30" s="33" customFormat="1" x14ac:dyDescent="0.25">
      <c r="J88" s="535" t="s">
        <v>8757</v>
      </c>
      <c r="K88" s="499"/>
      <c r="L88" s="499"/>
      <c r="M88" s="499"/>
      <c r="N88" s="499"/>
      <c r="O88" s="499"/>
      <c r="P88" s="499"/>
      <c r="Q88" s="455">
        <v>0.65</v>
      </c>
      <c r="R88" s="501">
        <f t="shared" ref="R88:R94" si="1">ROUND(Q88*$R$70,0)</f>
        <v>31844</v>
      </c>
      <c r="S88" s="51"/>
      <c r="X88" s="46"/>
      <c r="Y88" s="46"/>
      <c r="Z88" s="46"/>
      <c r="AA88" s="46"/>
      <c r="AB88" s="46"/>
      <c r="AC88" s="46"/>
      <c r="AD88" s="46"/>
    </row>
    <row r="89" spans="3:30" s="33" customFormat="1" x14ac:dyDescent="0.25">
      <c r="J89" s="535" t="s">
        <v>8760</v>
      </c>
      <c r="K89" s="499"/>
      <c r="L89" s="499"/>
      <c r="M89" s="499"/>
      <c r="N89" s="499"/>
      <c r="O89" s="499"/>
      <c r="P89" s="499"/>
      <c r="Q89" s="455">
        <v>0.125</v>
      </c>
      <c r="R89" s="501">
        <f t="shared" si="1"/>
        <v>6124</v>
      </c>
      <c r="X89" s="46"/>
      <c r="Y89" s="46"/>
      <c r="Z89" s="46"/>
      <c r="AA89" s="46"/>
      <c r="AB89" s="46"/>
      <c r="AC89" s="46"/>
      <c r="AD89" s="46"/>
    </row>
    <row r="90" spans="3:30" s="33" customFormat="1" x14ac:dyDescent="0.25">
      <c r="J90" s="535" t="s">
        <v>8759</v>
      </c>
      <c r="K90" s="499"/>
      <c r="L90" s="499"/>
      <c r="M90" s="499"/>
      <c r="N90" s="499"/>
      <c r="O90" s="499"/>
      <c r="P90" s="499"/>
      <c r="Q90" s="455">
        <v>0.1</v>
      </c>
      <c r="R90" s="501">
        <f t="shared" si="1"/>
        <v>4899</v>
      </c>
      <c r="X90" s="46"/>
      <c r="Y90" s="46"/>
      <c r="Z90" s="46"/>
      <c r="AA90" s="46"/>
      <c r="AB90" s="46"/>
      <c r="AC90" s="46"/>
      <c r="AD90" s="46"/>
    </row>
    <row r="91" spans="3:30" s="33" customFormat="1" x14ac:dyDescent="0.25">
      <c r="J91" s="535" t="s">
        <v>8758</v>
      </c>
      <c r="K91" s="499"/>
      <c r="L91" s="499"/>
      <c r="M91" s="499"/>
      <c r="N91" s="499"/>
      <c r="O91" s="499"/>
      <c r="P91" s="499"/>
      <c r="Q91" s="455">
        <v>0.05</v>
      </c>
      <c r="R91" s="501">
        <f t="shared" si="1"/>
        <v>2450</v>
      </c>
      <c r="X91" s="46"/>
      <c r="Y91" s="46"/>
      <c r="Z91" s="46"/>
      <c r="AA91" s="46"/>
      <c r="AB91" s="46"/>
      <c r="AC91" s="46"/>
      <c r="AD91" s="46"/>
    </row>
    <row r="92" spans="3:30" s="33" customFormat="1" x14ac:dyDescent="0.25">
      <c r="J92" s="431" t="s">
        <v>8734</v>
      </c>
      <c r="K92" s="499"/>
      <c r="L92" s="499"/>
      <c r="M92" s="499"/>
      <c r="N92" s="499"/>
      <c r="O92" s="499"/>
      <c r="P92" s="499"/>
      <c r="Q92" s="455">
        <v>2.5000000000000001E-2</v>
      </c>
      <c r="R92" s="501">
        <f t="shared" si="1"/>
        <v>1225</v>
      </c>
      <c r="X92" s="46"/>
      <c r="Y92" s="46"/>
      <c r="Z92" s="46"/>
      <c r="AA92" s="46"/>
      <c r="AB92" s="46"/>
      <c r="AC92" s="46"/>
      <c r="AD92" s="46"/>
    </row>
    <row r="93" spans="3:30" s="33" customFormat="1" x14ac:dyDescent="0.25">
      <c r="J93" s="535" t="s">
        <v>8755</v>
      </c>
      <c r="K93" s="499"/>
      <c r="L93" s="499"/>
      <c r="M93" s="499"/>
      <c r="N93" s="499"/>
      <c r="O93" s="499"/>
      <c r="P93" s="499"/>
      <c r="Q93" s="455">
        <v>2.5000000000000001E-2</v>
      </c>
      <c r="R93" s="501">
        <f t="shared" si="1"/>
        <v>1225</v>
      </c>
      <c r="X93" s="46"/>
      <c r="Y93" s="46"/>
      <c r="Z93" s="46"/>
      <c r="AA93" s="46"/>
      <c r="AB93" s="46"/>
      <c r="AC93" s="46"/>
      <c r="AD93" s="46"/>
    </row>
    <row r="94" spans="3:30" x14ac:dyDescent="0.25">
      <c r="C94" s="37"/>
      <c r="D94" s="38"/>
      <c r="G94" s="38"/>
      <c r="J94" s="502" t="s">
        <v>8732</v>
      </c>
      <c r="K94" s="37"/>
      <c r="L94" s="37"/>
      <c r="M94" s="37"/>
      <c r="N94" s="503"/>
      <c r="O94" s="37"/>
      <c r="P94" s="37"/>
      <c r="Q94" s="392">
        <v>2.5000000000000001E-2</v>
      </c>
      <c r="R94" s="504">
        <f t="shared" si="1"/>
        <v>1225</v>
      </c>
    </row>
    <row r="95" spans="3:30" x14ac:dyDescent="0.25">
      <c r="C95" s="37"/>
      <c r="D95" s="38"/>
      <c r="G95" s="38"/>
      <c r="J95" s="505" t="s">
        <v>8749</v>
      </c>
      <c r="K95" s="506"/>
      <c r="L95" s="506"/>
      <c r="M95" s="506"/>
      <c r="N95" s="507"/>
      <c r="O95" s="506"/>
      <c r="P95" s="506"/>
      <c r="Q95" s="508">
        <f>SUM(Q88:Q94)</f>
        <v>1</v>
      </c>
      <c r="R95" s="509">
        <f>SUM(R88:R94)</f>
        <v>48992</v>
      </c>
    </row>
    <row r="96" spans="3:30" x14ac:dyDescent="0.25">
      <c r="D96" s="37"/>
      <c r="E96" s="37"/>
      <c r="F96" s="38"/>
      <c r="G96" s="38"/>
      <c r="J96" s="38"/>
      <c r="K96" s="38"/>
      <c r="L96" s="38"/>
      <c r="M96" s="38"/>
      <c r="N96" s="133"/>
      <c r="O96" s="38"/>
      <c r="P96" s="38"/>
      <c r="Q96" s="38"/>
      <c r="R96" s="38"/>
    </row>
    <row r="97" spans="1:30" x14ac:dyDescent="0.25">
      <c r="D97" s="37"/>
      <c r="E97" s="37"/>
      <c r="F97" s="38"/>
      <c r="G97" s="38"/>
      <c r="J97" s="521" t="s">
        <v>8741</v>
      </c>
      <c r="K97" s="38"/>
      <c r="L97" s="38"/>
      <c r="M97" s="38"/>
      <c r="N97" s="133"/>
      <c r="O97" s="38"/>
      <c r="P97" s="38"/>
      <c r="Q97" s="38"/>
      <c r="R97" s="38"/>
    </row>
    <row r="98" spans="1:30" x14ac:dyDescent="0.25">
      <c r="D98" s="37"/>
      <c r="E98" s="37"/>
      <c r="F98" s="38"/>
      <c r="G98" s="38"/>
      <c r="J98" s="521" t="s">
        <v>8742</v>
      </c>
      <c r="K98" s="38"/>
      <c r="L98" s="38"/>
      <c r="M98" s="38"/>
      <c r="N98" s="133"/>
      <c r="O98" s="38"/>
      <c r="P98" s="38"/>
      <c r="Q98" s="38"/>
      <c r="R98" s="38"/>
    </row>
    <row r="99" spans="1:30" x14ac:dyDescent="0.25">
      <c r="D99" s="37"/>
      <c r="E99" s="37"/>
      <c r="F99" s="38"/>
      <c r="G99" s="38"/>
      <c r="J99" s="521" t="s">
        <v>8743</v>
      </c>
      <c r="K99" s="38"/>
      <c r="L99" s="38"/>
      <c r="M99" s="38"/>
      <c r="N99" s="133"/>
      <c r="O99" s="38"/>
      <c r="P99" s="38"/>
      <c r="Q99" s="38"/>
      <c r="R99" s="38"/>
    </row>
    <row r="100" spans="1:30" x14ac:dyDescent="0.25">
      <c r="D100" s="37"/>
      <c r="E100" s="37"/>
      <c r="F100" s="38"/>
      <c r="G100" s="38"/>
      <c r="H100" s="38"/>
      <c r="I100" s="38"/>
      <c r="J100" s="38"/>
      <c r="K100" s="38"/>
      <c r="L100" s="133"/>
      <c r="M100" s="38"/>
      <c r="N100" s="38"/>
      <c r="O100" s="38"/>
      <c r="P100" s="38"/>
      <c r="Q100" s="38"/>
      <c r="R100" s="38"/>
    </row>
    <row r="101" spans="1:30" x14ac:dyDescent="0.25">
      <c r="A101" s="203" t="s">
        <v>8750</v>
      </c>
      <c r="B101" s="204"/>
      <c r="C101" s="204"/>
      <c r="D101" s="204"/>
      <c r="E101" s="204"/>
      <c r="F101" s="204"/>
      <c r="G101" s="204"/>
      <c r="H101" s="204"/>
      <c r="I101" s="204"/>
      <c r="J101" s="205"/>
      <c r="K101" s="204"/>
      <c r="L101" s="206"/>
      <c r="M101" s="204"/>
      <c r="N101" s="204"/>
      <c r="O101" s="204"/>
      <c r="P101" s="204"/>
      <c r="Q101" s="204"/>
      <c r="R101" s="204"/>
      <c r="S101" s="41"/>
      <c r="T101" s="41"/>
      <c r="U101" s="41"/>
      <c r="V101" s="41"/>
      <c r="W101" s="41"/>
      <c r="X101" s="41"/>
      <c r="Y101" s="41"/>
      <c r="Z101" s="41"/>
      <c r="AA101" s="41"/>
      <c r="AB101" s="41"/>
      <c r="AC101" s="42"/>
      <c r="AD101" s="43"/>
    </row>
    <row r="102" spans="1:30" s="33" customFormat="1" x14ac:dyDescent="0.25">
      <c r="J102" s="47"/>
      <c r="K102" s="47"/>
      <c r="L102" s="47"/>
      <c r="M102" s="47"/>
      <c r="N102" s="47"/>
      <c r="O102" s="47"/>
      <c r="P102" s="47"/>
      <c r="Q102" s="47"/>
      <c r="R102" s="47"/>
      <c r="X102" s="46"/>
      <c r="Y102" s="46"/>
      <c r="Z102" s="46"/>
      <c r="AA102" s="46"/>
      <c r="AB102" s="46"/>
      <c r="AC102" s="46"/>
      <c r="AD102" s="46"/>
    </row>
    <row r="103" spans="1:30" s="33" customFormat="1" x14ac:dyDescent="0.25">
      <c r="A103" s="414" t="s">
        <v>8700</v>
      </c>
      <c r="B103" s="137"/>
      <c r="C103" s="137"/>
      <c r="J103" s="47"/>
      <c r="K103" s="47"/>
      <c r="L103" s="47"/>
      <c r="M103" s="47"/>
      <c r="N103" s="47"/>
      <c r="O103" s="47"/>
      <c r="P103" s="47"/>
      <c r="Q103" s="47"/>
      <c r="R103" s="47"/>
      <c r="X103" s="46"/>
      <c r="Y103" s="46"/>
      <c r="Z103" s="46"/>
      <c r="AA103" s="46"/>
      <c r="AB103" s="46"/>
      <c r="AC103" s="46"/>
      <c r="AD103" s="46"/>
    </row>
    <row r="104" spans="1:30" s="209" customFormat="1" x14ac:dyDescent="0.25">
      <c r="A104" s="389" t="s">
        <v>8705</v>
      </c>
      <c r="B104" s="395"/>
      <c r="C104" s="395"/>
      <c r="H104" s="226">
        <f t="shared" ref="H104:R104" si="2">H152/H122</f>
        <v>27.23555514253189</v>
      </c>
      <c r="I104" s="226">
        <f t="shared" si="2"/>
        <v>26.402848172506019</v>
      </c>
      <c r="J104" s="226">
        <f t="shared" si="2"/>
        <v>25.639441261281505</v>
      </c>
      <c r="K104" s="226">
        <f t="shared" si="2"/>
        <v>25.842132576787058</v>
      </c>
      <c r="L104" s="226">
        <f t="shared" si="2"/>
        <v>27.105568662697074</v>
      </c>
      <c r="M104" s="226">
        <f t="shared" si="2"/>
        <v>26.74043473062034</v>
      </c>
      <c r="N104" s="226">
        <f t="shared" si="2"/>
        <v>24.774851656934075</v>
      </c>
      <c r="O104" s="226">
        <f t="shared" si="2"/>
        <v>25.142846976566275</v>
      </c>
      <c r="P104" s="226">
        <f t="shared" si="2"/>
        <v>25.55549388540452</v>
      </c>
      <c r="Q104" s="226">
        <f t="shared" si="2"/>
        <v>25.507932031732782</v>
      </c>
      <c r="R104" s="226">
        <f t="shared" si="2"/>
        <v>24.604080849940477</v>
      </c>
      <c r="T104" s="227">
        <f>O104+T105</f>
        <v>30.992846976566277</v>
      </c>
      <c r="U104" s="227">
        <f t="shared" ref="U104:W104" si="3">P104+U105</f>
        <v>31.405493885404518</v>
      </c>
      <c r="V104" s="227">
        <f t="shared" si="3"/>
        <v>31.35793203173278</v>
      </c>
      <c r="W104" s="227">
        <f t="shared" si="3"/>
        <v>30.454080849940475</v>
      </c>
      <c r="X104" s="217"/>
      <c r="Y104" s="227">
        <f>Y153/Y122</f>
        <v>31.056031604763849</v>
      </c>
      <c r="Z104" s="252">
        <f>Y104+Z105</f>
        <v>31.056031604763849</v>
      </c>
      <c r="AA104" s="252">
        <f>Z104+AA105</f>
        <v>31.056031604763849</v>
      </c>
      <c r="AB104" s="252">
        <f>AA104+AB105</f>
        <v>31.056031604763849</v>
      </c>
      <c r="AC104" s="252">
        <f>AB104+AC105</f>
        <v>31.056031604763849</v>
      </c>
      <c r="AD104" s="217"/>
    </row>
    <row r="105" spans="1:30" s="209" customFormat="1" x14ac:dyDescent="0.25">
      <c r="A105" s="390" t="s">
        <v>8706</v>
      </c>
      <c r="B105" s="510"/>
      <c r="C105" s="510"/>
      <c r="H105" s="226"/>
      <c r="I105" s="226"/>
      <c r="J105" s="226"/>
      <c r="K105" s="226"/>
      <c r="L105" s="226">
        <f>L104-H104</f>
        <v>-0.12998647983481604</v>
      </c>
      <c r="M105" s="226">
        <f>M104-I104</f>
        <v>0.33758655811432092</v>
      </c>
      <c r="N105" s="226">
        <f>N104-J104</f>
        <v>-0.86458960434742949</v>
      </c>
      <c r="O105" s="226">
        <f>O104-K104</f>
        <v>-0.69928560022078301</v>
      </c>
      <c r="P105" s="226">
        <f>P104-L104</f>
        <v>-1.5500747772925543</v>
      </c>
      <c r="Q105" s="226">
        <f t="shared" ref="Q105:R105" si="4">Q104-M104</f>
        <v>-1.2325026988875578</v>
      </c>
      <c r="R105" s="226">
        <f t="shared" si="4"/>
        <v>-0.17077080699359826</v>
      </c>
      <c r="T105" s="393">
        <f>R25</f>
        <v>5.85</v>
      </c>
      <c r="U105" s="113">
        <f>T105</f>
        <v>5.85</v>
      </c>
      <c r="V105" s="113">
        <f>U105</f>
        <v>5.85</v>
      </c>
      <c r="W105" s="113">
        <f>V105</f>
        <v>5.85</v>
      </c>
      <c r="X105" s="217"/>
      <c r="Y105" s="258">
        <f>Y104-R104</f>
        <v>6.4519507548233719</v>
      </c>
      <c r="Z105" s="86">
        <v>0</v>
      </c>
      <c r="AA105" s="86">
        <v>0</v>
      </c>
      <c r="AB105" s="86">
        <v>0</v>
      </c>
      <c r="AC105" s="86">
        <v>0</v>
      </c>
      <c r="AD105" s="217"/>
    </row>
    <row r="106" spans="1:30" x14ac:dyDescent="0.25">
      <c r="A106" s="207" t="s">
        <v>8650</v>
      </c>
      <c r="B106" s="511"/>
      <c r="C106" s="511"/>
      <c r="H106" s="222">
        <v>43</v>
      </c>
      <c r="I106" s="222">
        <v>43</v>
      </c>
      <c r="J106" s="95">
        <v>43</v>
      </c>
      <c r="K106" s="95">
        <v>43</v>
      </c>
      <c r="L106" s="95">
        <v>43</v>
      </c>
      <c r="M106" s="222">
        <f t="shared" ref="M106:R106" si="5">$R$13</f>
        <v>43</v>
      </c>
      <c r="N106" s="222">
        <f t="shared" si="5"/>
        <v>43</v>
      </c>
      <c r="O106" s="222">
        <f t="shared" si="5"/>
        <v>43</v>
      </c>
      <c r="P106" s="222">
        <f t="shared" si="5"/>
        <v>43</v>
      </c>
      <c r="Q106" s="222">
        <f t="shared" si="5"/>
        <v>43</v>
      </c>
      <c r="R106" s="222">
        <f t="shared" si="5"/>
        <v>43</v>
      </c>
      <c r="T106" s="222">
        <f>(T179+T180)/T122/T104</f>
        <v>41.457886103973046</v>
      </c>
      <c r="U106" s="222">
        <f>(U179+U180)/U122/U104</f>
        <v>41.478148435608212</v>
      </c>
      <c r="V106" s="222">
        <f>(V179+V180)/V122/V104</f>
        <v>41.475840181309344</v>
      </c>
      <c r="W106" s="222">
        <f>(W179+W180)/W122/W104</f>
        <v>41.430604416022192</v>
      </c>
      <c r="X106" s="43"/>
      <c r="Y106" s="222">
        <f>(Y179+Y180)/Y122/Y104</f>
        <v>41.461023590899863</v>
      </c>
      <c r="Z106" s="222">
        <f>Z203/Z104</f>
        <v>41.46102359089987</v>
      </c>
      <c r="AA106" s="222">
        <f>AA203/AA104</f>
        <v>41.46102359089987</v>
      </c>
      <c r="AB106" s="222">
        <f>AB203/AB104</f>
        <v>41.46102359089987</v>
      </c>
      <c r="AC106" s="222">
        <f>AC203/AC104</f>
        <v>41.46102359089987</v>
      </c>
      <c r="AD106" s="43"/>
    </row>
    <row r="107" spans="1:30" x14ac:dyDescent="0.25">
      <c r="A107" s="209" t="s">
        <v>8651</v>
      </c>
      <c r="B107" s="512"/>
      <c r="C107" s="512"/>
      <c r="H107" s="210">
        <v>0.82</v>
      </c>
      <c r="I107" s="210">
        <v>0.82</v>
      </c>
      <c r="J107" s="210">
        <v>0.82</v>
      </c>
      <c r="K107" s="210">
        <v>0.82</v>
      </c>
      <c r="L107" s="210">
        <v>0.81</v>
      </c>
      <c r="M107" s="210">
        <v>0.81</v>
      </c>
      <c r="N107" s="210">
        <v>0.81</v>
      </c>
      <c r="O107" s="470">
        <f>$R$14</f>
        <v>0.81</v>
      </c>
      <c r="P107" s="470">
        <f>$R$14</f>
        <v>0.81</v>
      </c>
      <c r="Q107" s="470">
        <f>$R$14</f>
        <v>0.81</v>
      </c>
      <c r="R107" s="470">
        <f>$R$14</f>
        <v>0.81</v>
      </c>
      <c r="T107" s="231">
        <f>T179/T181</f>
        <v>0.84012966586499782</v>
      </c>
      <c r="U107" s="231">
        <f>U179/U181</f>
        <v>0.8397192573354868</v>
      </c>
      <c r="V107" s="231">
        <f>V179/V181</f>
        <v>0.83976599021846421</v>
      </c>
      <c r="W107" s="231">
        <f>W179/W181</f>
        <v>0.84068288384734313</v>
      </c>
      <c r="X107" s="43"/>
      <c r="Y107" s="231">
        <f>Y179/Y181</f>
        <v>0.84006609059320769</v>
      </c>
      <c r="Z107" s="231">
        <f>Z179/Z181</f>
        <v>0.84006609059320769</v>
      </c>
      <c r="AA107" s="231">
        <f>AA179/AA181</f>
        <v>0.84006609059320758</v>
      </c>
      <c r="AB107" s="231">
        <f>AB179/AB181</f>
        <v>0.84006609059320769</v>
      </c>
      <c r="AC107" s="231">
        <f>AC179/AC181</f>
        <v>0.84006609059320769</v>
      </c>
      <c r="AD107" s="43"/>
    </row>
    <row r="108" spans="1:30" s="209" customFormat="1" x14ac:dyDescent="0.25">
      <c r="A108" s="389" t="s">
        <v>8664</v>
      </c>
      <c r="B108" s="395"/>
      <c r="C108" s="395"/>
      <c r="H108" s="222">
        <f t="shared" ref="H108:R108" si="6">H107*H106</f>
        <v>35.26</v>
      </c>
      <c r="I108" s="222">
        <f t="shared" si="6"/>
        <v>35.26</v>
      </c>
      <c r="J108" s="222">
        <f t="shared" si="6"/>
        <v>35.26</v>
      </c>
      <c r="K108" s="222">
        <f t="shared" si="6"/>
        <v>35.26</v>
      </c>
      <c r="L108" s="222">
        <f t="shared" si="6"/>
        <v>34.830000000000005</v>
      </c>
      <c r="M108" s="222">
        <f t="shared" si="6"/>
        <v>34.830000000000005</v>
      </c>
      <c r="N108" s="222">
        <f t="shared" si="6"/>
        <v>34.830000000000005</v>
      </c>
      <c r="O108" s="222">
        <f t="shared" si="6"/>
        <v>34.830000000000005</v>
      </c>
      <c r="P108" s="222">
        <f t="shared" si="6"/>
        <v>34.830000000000005</v>
      </c>
      <c r="Q108" s="222">
        <f t="shared" si="6"/>
        <v>34.830000000000005</v>
      </c>
      <c r="R108" s="222">
        <f t="shared" si="6"/>
        <v>34.830000000000005</v>
      </c>
      <c r="T108" s="224">
        <f>O108*(1+T109)</f>
        <v>34.830000000000005</v>
      </c>
      <c r="U108" s="224">
        <f t="shared" ref="U108:W108" si="7">P108*(1+U109)</f>
        <v>34.830000000000005</v>
      </c>
      <c r="V108" s="224">
        <f t="shared" si="7"/>
        <v>34.830000000000005</v>
      </c>
      <c r="W108" s="224">
        <f t="shared" si="7"/>
        <v>34.830000000000005</v>
      </c>
      <c r="X108" s="217"/>
      <c r="Y108" s="253">
        <f>Y201/Y104</f>
        <v>34.830000000000013</v>
      </c>
      <c r="Z108" s="253">
        <f>Y108*(1+Z109)</f>
        <v>34.830000000000013</v>
      </c>
      <c r="AA108" s="253">
        <f>Z108*(1+AA109)</f>
        <v>34.830000000000013</v>
      </c>
      <c r="AB108" s="253">
        <f>AA108*(1+AB109)</f>
        <v>34.830000000000013</v>
      </c>
      <c r="AC108" s="253">
        <f>AB108*(1+AC109)</f>
        <v>34.830000000000013</v>
      </c>
      <c r="AD108" s="217"/>
    </row>
    <row r="109" spans="1:30" s="209" customFormat="1" x14ac:dyDescent="0.25">
      <c r="A109" s="390" t="s">
        <v>8666</v>
      </c>
      <c r="B109" s="510"/>
      <c r="C109" s="510"/>
      <c r="H109" s="224"/>
      <c r="I109" s="224"/>
      <c r="J109" s="224"/>
      <c r="K109" s="224"/>
      <c r="L109" s="229">
        <f>L108/H108-1</f>
        <v>-1.2195121951219301E-2</v>
      </c>
      <c r="M109" s="229">
        <f>M108/I108-1</f>
        <v>-1.2195121951219301E-2</v>
      </c>
      <c r="N109" s="229">
        <f>N108/J108-1</f>
        <v>-1.2195121951219301E-2</v>
      </c>
      <c r="O109" s="229">
        <f>O108/K108-1</f>
        <v>-1.2195121951219301E-2</v>
      </c>
      <c r="P109" s="229">
        <f>P108/L108-1</f>
        <v>0</v>
      </c>
      <c r="Q109" s="229">
        <f t="shared" ref="Q109:R109" si="8">Q108/M108-1</f>
        <v>0</v>
      </c>
      <c r="R109" s="229">
        <f t="shared" si="8"/>
        <v>0</v>
      </c>
      <c r="T109" s="77">
        <v>0</v>
      </c>
      <c r="U109" s="77">
        <v>0</v>
      </c>
      <c r="V109" s="77">
        <v>0</v>
      </c>
      <c r="W109" s="77">
        <v>0</v>
      </c>
      <c r="X109" s="217"/>
      <c r="Y109" s="255"/>
      <c r="Z109" s="77">
        <v>0</v>
      </c>
      <c r="AA109" s="77">
        <v>0</v>
      </c>
      <c r="AB109" s="77">
        <v>0</v>
      </c>
      <c r="AC109" s="77">
        <v>0</v>
      </c>
      <c r="AD109" s="217"/>
    </row>
    <row r="110" spans="1:30" s="209" customFormat="1" x14ac:dyDescent="0.25">
      <c r="A110" s="389" t="s">
        <v>8707</v>
      </c>
      <c r="B110" s="395"/>
      <c r="C110" s="395"/>
      <c r="H110" s="222">
        <f t="shared" ref="H110:R110" si="9">H180/H122</f>
        <v>210.80319680319693</v>
      </c>
      <c r="I110" s="222">
        <f t="shared" si="9"/>
        <v>204.3580448551966</v>
      </c>
      <c r="J110" s="222">
        <f t="shared" si="9"/>
        <v>198.44927536231882</v>
      </c>
      <c r="K110" s="222">
        <f t="shared" si="9"/>
        <v>200.01810614433191</v>
      </c>
      <c r="L110" s="222">
        <f t="shared" si="9"/>
        <v>221.45249597423512</v>
      </c>
      <c r="M110" s="222">
        <f t="shared" si="9"/>
        <v>218.46935174916814</v>
      </c>
      <c r="N110" s="222">
        <f t="shared" si="9"/>
        <v>202.41053803715135</v>
      </c>
      <c r="O110" s="222">
        <f t="shared" si="9"/>
        <v>205.41705979854632</v>
      </c>
      <c r="P110" s="222">
        <f t="shared" si="9"/>
        <v>208.78838504375497</v>
      </c>
      <c r="Q110" s="222">
        <f t="shared" si="9"/>
        <v>208.39980469925689</v>
      </c>
      <c r="R110" s="222">
        <f t="shared" si="9"/>
        <v>201.01534054401367</v>
      </c>
      <c r="T110" s="224">
        <f>O110*(1+T111)</f>
        <v>205.41705979854632</v>
      </c>
      <c r="U110" s="224">
        <f t="shared" ref="U110:W110" si="10">P110*(1+U111)</f>
        <v>208.78838504375497</v>
      </c>
      <c r="V110" s="224">
        <f t="shared" si="10"/>
        <v>208.39980469925689</v>
      </c>
      <c r="W110" s="224">
        <f t="shared" si="10"/>
        <v>201.01534054401367</v>
      </c>
      <c r="X110" s="217"/>
      <c r="Y110" s="254">
        <f>Y202</f>
        <v>205.93327821092066</v>
      </c>
      <c r="Z110" s="254">
        <f>Y110*(1+Z111)</f>
        <v>205.93327821092066</v>
      </c>
      <c r="AA110" s="254">
        <f>Z110*(1+AA111)</f>
        <v>205.93327821092066</v>
      </c>
      <c r="AB110" s="254">
        <f>AA110*(1+AB111)</f>
        <v>205.93327821092066</v>
      </c>
      <c r="AC110" s="254">
        <f>AB110*(1+AC111)</f>
        <v>205.93327821092066</v>
      </c>
      <c r="AD110" s="217"/>
    </row>
    <row r="111" spans="1:30" s="209" customFormat="1" x14ac:dyDescent="0.25">
      <c r="A111" s="390" t="s">
        <v>8708</v>
      </c>
      <c r="B111" s="510"/>
      <c r="C111" s="510"/>
      <c r="J111" s="216"/>
      <c r="K111" s="216"/>
      <c r="L111" s="229">
        <f>L110/H110-1</f>
        <v>5.0517730909841241E-2</v>
      </c>
      <c r="M111" s="229">
        <f>M110/I110-1</f>
        <v>6.9051878549584389E-2</v>
      </c>
      <c r="N111" s="229">
        <f>N110/J110-1</f>
        <v>1.9961084098696125E-2</v>
      </c>
      <c r="O111" s="229">
        <f>O110/K110-1</f>
        <v>2.699232463644341E-2</v>
      </c>
      <c r="P111" s="229">
        <f>P110/L110-1</f>
        <v>-5.7186580240457308E-2</v>
      </c>
      <c r="Q111" s="229">
        <f t="shared" ref="Q111:R111" si="11">Q110/M110-1</f>
        <v>-4.6091348600111326E-2</v>
      </c>
      <c r="R111" s="229">
        <f t="shared" si="11"/>
        <v>-6.8929093646379336E-3</v>
      </c>
      <c r="T111" s="77">
        <v>0</v>
      </c>
      <c r="U111" s="77">
        <v>0</v>
      </c>
      <c r="V111" s="77">
        <v>0</v>
      </c>
      <c r="W111" s="77">
        <v>0</v>
      </c>
      <c r="X111" s="217"/>
      <c r="Y111" s="255"/>
      <c r="Z111" s="77">
        <v>0</v>
      </c>
      <c r="AA111" s="77">
        <v>0</v>
      </c>
      <c r="AB111" s="77">
        <v>0</v>
      </c>
      <c r="AC111" s="77">
        <v>0</v>
      </c>
      <c r="AD111" s="217"/>
    </row>
    <row r="112" spans="1:30" s="209" customFormat="1" x14ac:dyDescent="0.25">
      <c r="A112" s="230"/>
      <c r="B112" s="513"/>
      <c r="C112" s="513"/>
      <c r="J112" s="216"/>
      <c r="K112" s="216"/>
      <c r="L112" s="229"/>
      <c r="M112" s="229"/>
      <c r="N112" s="229"/>
      <c r="O112" s="229"/>
      <c r="P112" s="229"/>
      <c r="Q112" s="229"/>
      <c r="R112" s="229"/>
      <c r="T112" s="77"/>
      <c r="U112" s="77"/>
      <c r="V112" s="77"/>
      <c r="W112" s="77"/>
      <c r="X112" s="217"/>
      <c r="Y112" s="255"/>
      <c r="Z112" s="77"/>
      <c r="AA112" s="77"/>
      <c r="AB112" s="77"/>
      <c r="AC112" s="77"/>
      <c r="AD112" s="217"/>
    </row>
    <row r="113" spans="1:30" s="209" customFormat="1" x14ac:dyDescent="0.25">
      <c r="A113" s="414" t="s">
        <v>8701</v>
      </c>
      <c r="B113" s="137"/>
      <c r="C113" s="137"/>
      <c r="J113" s="216"/>
      <c r="K113" s="216"/>
      <c r="L113" s="229"/>
      <c r="M113" s="229"/>
      <c r="N113" s="229"/>
      <c r="O113" s="229"/>
      <c r="P113" s="229"/>
      <c r="Q113" s="229"/>
      <c r="R113" s="229"/>
      <c r="T113" s="77"/>
      <c r="U113" s="77"/>
      <c r="V113" s="77"/>
      <c r="W113" s="77"/>
      <c r="X113" s="217"/>
      <c r="Y113" s="255"/>
      <c r="Z113" s="77"/>
      <c r="AA113" s="77"/>
      <c r="AB113" s="77"/>
      <c r="AC113" s="77"/>
      <c r="AD113" s="217"/>
    </row>
    <row r="114" spans="1:30" x14ac:dyDescent="0.25">
      <c r="A114" s="228" t="s">
        <v>8667</v>
      </c>
      <c r="B114" s="514"/>
      <c r="C114" s="514"/>
      <c r="H114" s="208">
        <f>'Regis Corp. model'!F301</f>
        <v>0.57973039399670201</v>
      </c>
      <c r="I114" s="208">
        <f>'Regis Corp. model'!G301</f>
        <v>0.57104808243257676</v>
      </c>
      <c r="J114" s="208">
        <f>'Regis Corp. model'!H301</f>
        <v>0.60515840738556648</v>
      </c>
      <c r="K114" s="208">
        <f>'Regis Corp. model'!I301</f>
        <v>0.60333104979319363</v>
      </c>
      <c r="L114" s="208">
        <f>'Regis Corp. model'!J301</f>
        <v>0.59753053048713622</v>
      </c>
      <c r="M114" s="208">
        <f>'Regis Corp. model'!K301</f>
        <v>0.58858985896282168</v>
      </c>
      <c r="N114" s="208">
        <f>'Regis Corp. model'!L301</f>
        <v>0.60532326142572368</v>
      </c>
      <c r="O114" s="208">
        <f>'Regis Corp. model'!M301</f>
        <v>0.62122844976853331</v>
      </c>
      <c r="P114" s="208">
        <f>'Regis Corp. model'!N301</f>
        <v>0.61635487296789471</v>
      </c>
      <c r="Q114" s="208">
        <f>'Regis Corp. model'!O301</f>
        <v>0.61159902889893658</v>
      </c>
      <c r="R114" s="208">
        <f>'Regis Corp. model'!P301</f>
        <v>0.61327458861332118</v>
      </c>
      <c r="T114" s="77">
        <f>O114</f>
        <v>0.62122844976853331</v>
      </c>
      <c r="U114" s="77">
        <f t="shared" ref="U114:W115" si="12">P114</f>
        <v>0.61635487296789471</v>
      </c>
      <c r="V114" s="77">
        <f t="shared" si="12"/>
        <v>0.61159902889893658</v>
      </c>
      <c r="W114" s="77">
        <f t="shared" si="12"/>
        <v>0.61327458861332118</v>
      </c>
      <c r="X114" s="43"/>
      <c r="Y114" s="257">
        <f>Y205/Y201</f>
        <v>0.61561227010214381</v>
      </c>
      <c r="Z114" s="259">
        <f t="shared" ref="Z114:AC115" si="13">Y114</f>
        <v>0.61561227010214381</v>
      </c>
      <c r="AA114" s="259">
        <f t="shared" si="13"/>
        <v>0.61561227010214381</v>
      </c>
      <c r="AB114" s="259">
        <f t="shared" si="13"/>
        <v>0.61561227010214381</v>
      </c>
      <c r="AC114" s="259">
        <f t="shared" si="13"/>
        <v>0.61561227010214381</v>
      </c>
      <c r="AD114" s="43"/>
    </row>
    <row r="115" spans="1:30" x14ac:dyDescent="0.25">
      <c r="A115" s="228" t="s">
        <v>8668</v>
      </c>
      <c r="B115" s="514"/>
      <c r="C115" s="514"/>
      <c r="H115" s="208">
        <f>'Regis Corp. model'!F302</f>
        <v>0.50254080757911845</v>
      </c>
      <c r="I115" s="208">
        <f>'Regis Corp. model'!G302</f>
        <v>0.51053888194586938</v>
      </c>
      <c r="J115" s="208">
        <f>'Regis Corp. model'!H302</f>
        <v>0.51945563333463685</v>
      </c>
      <c r="K115" s="208">
        <f>'Regis Corp. model'!I302</f>
        <v>0.50874016039025827</v>
      </c>
      <c r="L115" s="208">
        <f>'Regis Corp. model'!J302</f>
        <v>0.51613028230416003</v>
      </c>
      <c r="M115" s="208">
        <f>'Regis Corp. model'!K302</f>
        <v>0.53496788113568383</v>
      </c>
      <c r="N115" s="208">
        <f>'Regis Corp. model'!L302</f>
        <v>0.49767704598641971</v>
      </c>
      <c r="O115" s="208">
        <f>'Regis Corp. model'!M302</f>
        <v>0.51612474301670264</v>
      </c>
      <c r="P115" s="208">
        <f>'Regis Corp. model'!N302</f>
        <v>0.48930642886681019</v>
      </c>
      <c r="Q115" s="208">
        <f>'Regis Corp. model'!O302</f>
        <v>0.50276899161206057</v>
      </c>
      <c r="R115" s="208">
        <f>'Regis Corp. model'!P302</f>
        <v>0.50671458507018763</v>
      </c>
      <c r="T115" s="77">
        <f>O115</f>
        <v>0.51612474301670264</v>
      </c>
      <c r="U115" s="77">
        <f t="shared" si="12"/>
        <v>0.48930642886681019</v>
      </c>
      <c r="V115" s="77">
        <f t="shared" si="12"/>
        <v>0.50276899161206057</v>
      </c>
      <c r="W115" s="77">
        <f t="shared" si="12"/>
        <v>0.50671458507018763</v>
      </c>
      <c r="X115" s="43"/>
      <c r="Y115" s="257">
        <f>Y206/Y202</f>
        <v>0.50359973813384618</v>
      </c>
      <c r="Z115" s="259">
        <f t="shared" si="13"/>
        <v>0.50359973813384618</v>
      </c>
      <c r="AA115" s="259">
        <f t="shared" si="13"/>
        <v>0.50359973813384618</v>
      </c>
      <c r="AB115" s="259">
        <f t="shared" si="13"/>
        <v>0.50359973813384618</v>
      </c>
      <c r="AC115" s="259">
        <f t="shared" si="13"/>
        <v>0.50359973813384618</v>
      </c>
      <c r="AD115" s="43"/>
    </row>
    <row r="116" spans="1:30" x14ac:dyDescent="0.25">
      <c r="A116" s="228"/>
      <c r="B116" s="514"/>
      <c r="C116" s="514"/>
      <c r="H116" s="208"/>
      <c r="I116" s="208"/>
      <c r="J116" s="208"/>
      <c r="K116" s="208"/>
      <c r="L116" s="208"/>
      <c r="M116" s="208"/>
      <c r="N116" s="208"/>
      <c r="O116" s="208"/>
      <c r="P116" s="208"/>
      <c r="Q116" s="208"/>
      <c r="R116" s="208"/>
      <c r="T116" s="77"/>
      <c r="U116" s="77"/>
      <c r="V116" s="77"/>
      <c r="W116" s="77"/>
      <c r="X116" s="43"/>
      <c r="Y116" s="257"/>
      <c r="Z116" s="259"/>
      <c r="AA116" s="259"/>
      <c r="AB116" s="259"/>
      <c r="AC116" s="259"/>
      <c r="AD116" s="43"/>
    </row>
    <row r="117" spans="1:30" x14ac:dyDescent="0.25">
      <c r="A117" s="414" t="s">
        <v>8702</v>
      </c>
      <c r="B117" s="137"/>
      <c r="C117" s="137"/>
      <c r="H117" s="208"/>
      <c r="I117" s="208"/>
      <c r="J117" s="208"/>
      <c r="K117" s="208"/>
      <c r="L117" s="208"/>
      <c r="M117" s="208"/>
      <c r="N117" s="208"/>
      <c r="O117" s="208"/>
      <c r="P117" s="208"/>
      <c r="Q117" s="208"/>
      <c r="R117" s="208"/>
      <c r="T117" s="77"/>
      <c r="U117" s="77"/>
      <c r="V117" s="77"/>
      <c r="W117" s="77"/>
      <c r="X117" s="43"/>
      <c r="Y117" s="257"/>
      <c r="Z117" s="259"/>
      <c r="AA117" s="259"/>
      <c r="AB117" s="259"/>
      <c r="AC117" s="259"/>
      <c r="AD117" s="43"/>
    </row>
    <row r="118" spans="1:30" s="209" customFormat="1" x14ac:dyDescent="0.25">
      <c r="A118" s="242" t="s">
        <v>8669</v>
      </c>
      <c r="B118" s="515"/>
      <c r="C118" s="515"/>
      <c r="H118" s="243">
        <f t="shared" ref="H118:R118" si="14">H211</f>
        <v>433.29533308141595</v>
      </c>
      <c r="I118" s="243">
        <f t="shared" si="14"/>
        <v>444.2903984988107</v>
      </c>
      <c r="J118" s="243">
        <f t="shared" si="14"/>
        <v>453.93809316454099</v>
      </c>
      <c r="K118" s="243">
        <f t="shared" si="14"/>
        <v>453.89723346208689</v>
      </c>
      <c r="L118" s="243">
        <f t="shared" si="14"/>
        <v>466.78468128235659</v>
      </c>
      <c r="M118" s="243">
        <f t="shared" si="14"/>
        <v>474.89070621943551</v>
      </c>
      <c r="N118" s="243">
        <f t="shared" si="14"/>
        <v>424.15054763527121</v>
      </c>
      <c r="O118" s="243">
        <f t="shared" si="14"/>
        <v>445.99552269749341</v>
      </c>
      <c r="P118" s="243">
        <f t="shared" si="14"/>
        <v>456.36384210256995</v>
      </c>
      <c r="Q118" s="243">
        <f t="shared" si="14"/>
        <v>444.53251704033778</v>
      </c>
      <c r="R118" s="243">
        <f t="shared" si="14"/>
        <v>458.11608420834131</v>
      </c>
      <c r="T118" s="244">
        <f>O118*(1+T119)</f>
        <v>445.99552269749341</v>
      </c>
      <c r="U118" s="244">
        <f t="shared" ref="U118:W118" si="15">P118*(1+U119)</f>
        <v>456.36384210256995</v>
      </c>
      <c r="V118" s="244">
        <f t="shared" si="15"/>
        <v>444.53251704033778</v>
      </c>
      <c r="W118" s="244">
        <f t="shared" si="15"/>
        <v>458.11608420834131</v>
      </c>
      <c r="X118" s="244"/>
      <c r="Y118" s="254">
        <f>Y211</f>
        <v>451.22878132978121</v>
      </c>
      <c r="Z118" s="254">
        <f>Y118*(1+Z119)</f>
        <v>451.22878132978121</v>
      </c>
      <c r="AA118" s="254">
        <f>Z118*(1+AA119)</f>
        <v>451.22878132978121</v>
      </c>
      <c r="AB118" s="254">
        <f>AA118*(1+AB119)</f>
        <v>451.22878132978121</v>
      </c>
      <c r="AC118" s="254">
        <f>AB118*(1+AC119)</f>
        <v>451.22878132978121</v>
      </c>
      <c r="AD118" s="217"/>
    </row>
    <row r="119" spans="1:30" s="209" customFormat="1" x14ac:dyDescent="0.25">
      <c r="A119" s="256" t="s">
        <v>8672</v>
      </c>
      <c r="B119" s="516"/>
      <c r="C119" s="516"/>
      <c r="J119" s="216"/>
      <c r="K119" s="216"/>
      <c r="L119" s="229">
        <f>L118/H118-1</f>
        <v>7.7289889006600498E-2</v>
      </c>
      <c r="M119" s="229">
        <f>M118/I118-1</f>
        <v>6.8874564528107252E-2</v>
      </c>
      <c r="N119" s="229">
        <f>N118/J118-1</f>
        <v>-6.5620281659139246E-2</v>
      </c>
      <c r="O119" s="229">
        <f>O118/K118-1</f>
        <v>-1.7408589835023691E-2</v>
      </c>
      <c r="P119" s="229">
        <f>P118/L118-1</f>
        <v>-2.2324724005848617E-2</v>
      </c>
      <c r="Q119" s="229">
        <f t="shared" ref="Q119:R119" si="16">Q118/M118-1</f>
        <v>-6.3926686249088149E-2</v>
      </c>
      <c r="R119" s="229">
        <f t="shared" si="16"/>
        <v>8.0078964326310897E-2</v>
      </c>
      <c r="T119" s="77">
        <v>0</v>
      </c>
      <c r="U119" s="77">
        <v>0</v>
      </c>
      <c r="V119" s="77">
        <v>0</v>
      </c>
      <c r="W119" s="77">
        <v>0</v>
      </c>
      <c r="X119" s="217"/>
      <c r="Y119" s="255"/>
      <c r="Z119" s="77">
        <v>0</v>
      </c>
      <c r="AA119" s="77">
        <v>0</v>
      </c>
      <c r="AB119" s="77">
        <v>0</v>
      </c>
      <c r="AC119" s="77">
        <v>0</v>
      </c>
      <c r="AD119" s="217"/>
    </row>
    <row r="120" spans="1:30" s="209" customFormat="1" x14ac:dyDescent="0.25">
      <c r="A120" s="256"/>
      <c r="B120" s="516"/>
      <c r="C120" s="516"/>
      <c r="J120" s="216"/>
      <c r="K120" s="216"/>
      <c r="L120" s="229"/>
      <c r="M120" s="229"/>
      <c r="N120" s="229"/>
      <c r="O120" s="229"/>
      <c r="P120" s="229"/>
      <c r="Q120" s="229"/>
      <c r="R120" s="229"/>
      <c r="T120" s="77"/>
      <c r="U120" s="77"/>
      <c r="V120" s="77"/>
      <c r="W120" s="77"/>
      <c r="X120" s="217"/>
      <c r="Y120" s="255"/>
      <c r="Z120" s="77"/>
      <c r="AA120" s="77"/>
      <c r="AB120" s="77"/>
      <c r="AC120" s="77"/>
      <c r="AD120" s="217"/>
    </row>
    <row r="121" spans="1:30" s="209" customFormat="1" x14ac:dyDescent="0.25">
      <c r="A121" s="245" t="s">
        <v>8670</v>
      </c>
      <c r="B121" s="517"/>
      <c r="C121" s="517"/>
      <c r="H121" s="243">
        <f t="shared" ref="H121:R121" si="17">H214</f>
        <v>31.455674559785201</v>
      </c>
      <c r="I121" s="243">
        <f t="shared" si="17"/>
        <v>31.588528973770117</v>
      </c>
      <c r="J121" s="243">
        <f t="shared" si="17"/>
        <v>29.229687844040587</v>
      </c>
      <c r="K121" s="243">
        <f t="shared" si="17"/>
        <v>31.142680737374913</v>
      </c>
      <c r="L121" s="243">
        <f t="shared" si="17"/>
        <v>32.286389733198249</v>
      </c>
      <c r="M121" s="243">
        <f t="shared" si="17"/>
        <v>37.151784613035282</v>
      </c>
      <c r="N121" s="243">
        <f t="shared" si="17"/>
        <v>33.823262246757736</v>
      </c>
      <c r="O121" s="243">
        <f t="shared" si="17"/>
        <v>36.216206682677182</v>
      </c>
      <c r="P121" s="243">
        <f t="shared" si="17"/>
        <v>42.831992141750725</v>
      </c>
      <c r="Q121" s="243">
        <f t="shared" si="17"/>
        <v>34.513656824195401</v>
      </c>
      <c r="R121" s="243">
        <f t="shared" si="17"/>
        <v>33.276842089476133</v>
      </c>
      <c r="S121" s="243"/>
      <c r="T121" s="87">
        <f>O121</f>
        <v>36.216206682677182</v>
      </c>
      <c r="U121" s="87">
        <f t="shared" ref="U121:W121" si="18">P121</f>
        <v>42.831992141750725</v>
      </c>
      <c r="V121" s="87">
        <f t="shared" si="18"/>
        <v>34.513656824195401</v>
      </c>
      <c r="W121" s="87">
        <f t="shared" si="18"/>
        <v>33.276842089476133</v>
      </c>
      <c r="X121" s="254"/>
      <c r="Y121" s="254">
        <f>Y214</f>
        <v>36.72983644121512</v>
      </c>
      <c r="Z121" s="87">
        <f>AVERAGE(T121:W121)</f>
        <v>36.709674434524864</v>
      </c>
      <c r="AA121" s="87">
        <f>Z121</f>
        <v>36.709674434524864</v>
      </c>
      <c r="AB121" s="87">
        <f>AA121</f>
        <v>36.709674434524864</v>
      </c>
      <c r="AC121" s="87">
        <f>AB121</f>
        <v>36.709674434524864</v>
      </c>
      <c r="AD121" s="217"/>
    </row>
    <row r="122" spans="1:30" s="209" customFormat="1" x14ac:dyDescent="0.25">
      <c r="A122" s="209" t="s">
        <v>8662</v>
      </c>
      <c r="B122" s="512"/>
      <c r="C122" s="512"/>
      <c r="F122" s="216"/>
      <c r="G122" s="216"/>
      <c r="H122" s="225">
        <v>91</v>
      </c>
      <c r="I122" s="225">
        <v>91</v>
      </c>
      <c r="J122" s="225">
        <v>92</v>
      </c>
      <c r="K122" s="225">
        <v>92</v>
      </c>
      <c r="L122" s="225">
        <v>90</v>
      </c>
      <c r="M122" s="225">
        <v>91</v>
      </c>
      <c r="N122" s="225">
        <v>92</v>
      </c>
      <c r="O122" s="225">
        <v>92</v>
      </c>
      <c r="P122" s="225">
        <v>90</v>
      </c>
      <c r="Q122" s="225">
        <v>91</v>
      </c>
      <c r="R122" s="225">
        <v>92</v>
      </c>
      <c r="T122" s="225">
        <v>91</v>
      </c>
      <c r="U122" s="225">
        <v>92</v>
      </c>
      <c r="V122" s="225">
        <v>92</v>
      </c>
      <c r="W122" s="225">
        <v>90</v>
      </c>
      <c r="X122" s="217"/>
      <c r="Y122" s="249">
        <f>SUM(T122:W122)</f>
        <v>365</v>
      </c>
      <c r="Z122" s="43">
        <v>365</v>
      </c>
      <c r="AA122" s="217">
        <v>366</v>
      </c>
      <c r="AB122" s="217">
        <v>365</v>
      </c>
      <c r="AC122" s="217">
        <v>365</v>
      </c>
      <c r="AD122" s="217"/>
    </row>
    <row r="123" spans="1:30" s="209" customFormat="1" x14ac:dyDescent="0.25">
      <c r="B123" s="512"/>
      <c r="C123" s="512"/>
      <c r="F123" s="216"/>
      <c r="G123" s="216"/>
      <c r="H123" s="225"/>
      <c r="I123" s="225"/>
      <c r="J123" s="225"/>
      <c r="K123" s="225"/>
      <c r="L123" s="225"/>
      <c r="M123" s="225"/>
      <c r="N123" s="225"/>
      <c r="O123" s="225"/>
      <c r="P123" s="225"/>
      <c r="Q123" s="225"/>
      <c r="R123" s="225"/>
      <c r="T123" s="225"/>
      <c r="U123" s="225"/>
      <c r="V123" s="225"/>
      <c r="W123" s="225"/>
      <c r="X123" s="217"/>
      <c r="Y123" s="249"/>
      <c r="Z123" s="43"/>
      <c r="AA123" s="217"/>
      <c r="AB123" s="217"/>
      <c r="AC123" s="217"/>
      <c r="AD123" s="217"/>
    </row>
    <row r="124" spans="1:30" s="209" customFormat="1" x14ac:dyDescent="0.25">
      <c r="A124" s="414" t="s">
        <v>8703</v>
      </c>
      <c r="B124" s="137"/>
      <c r="C124" s="137"/>
      <c r="F124" s="216"/>
      <c r="G124" s="216"/>
      <c r="H124" s="225"/>
      <c r="I124" s="225"/>
      <c r="J124" s="225"/>
      <c r="K124" s="225"/>
      <c r="L124" s="225"/>
      <c r="M124" s="225"/>
      <c r="N124" s="225"/>
      <c r="O124" s="225"/>
      <c r="P124" s="225"/>
      <c r="Q124" s="225"/>
      <c r="R124" s="225"/>
      <c r="T124" s="225"/>
      <c r="U124" s="225"/>
      <c r="V124" s="225"/>
      <c r="W124" s="225"/>
      <c r="X124" s="217"/>
      <c r="Y124" s="249"/>
      <c r="Z124" s="43"/>
      <c r="AA124" s="217"/>
      <c r="AB124" s="217"/>
      <c r="AC124" s="217"/>
      <c r="AD124" s="217"/>
    </row>
    <row r="125" spans="1:30" x14ac:dyDescent="0.25">
      <c r="A125" s="15" t="s">
        <v>183</v>
      </c>
      <c r="B125" s="59"/>
      <c r="C125" s="59"/>
      <c r="F125" s="20">
        <v>1023</v>
      </c>
      <c r="G125" s="20">
        <f>F135</f>
        <v>1016</v>
      </c>
      <c r="H125" s="20">
        <f>G135</f>
        <v>1002</v>
      </c>
      <c r="I125" s="20">
        <f>H135</f>
        <v>978</v>
      </c>
      <c r="J125" s="20">
        <v>953</v>
      </c>
      <c r="K125" s="20">
        <f t="shared" ref="K125:R125" si="19">J135</f>
        <v>937</v>
      </c>
      <c r="L125" s="20">
        <f t="shared" si="19"/>
        <v>912</v>
      </c>
      <c r="M125" s="20">
        <f t="shared" si="19"/>
        <v>882</v>
      </c>
      <c r="N125" s="20">
        <f t="shared" si="19"/>
        <v>862</v>
      </c>
      <c r="O125" s="20">
        <f t="shared" si="19"/>
        <v>856</v>
      </c>
      <c r="P125" s="20">
        <f t="shared" si="19"/>
        <v>849</v>
      </c>
      <c r="Q125" s="20">
        <f t="shared" si="19"/>
        <v>827</v>
      </c>
      <c r="R125" s="20">
        <f t="shared" si="19"/>
        <v>816</v>
      </c>
      <c r="T125" s="20">
        <f>R135</f>
        <v>808</v>
      </c>
      <c r="U125" s="20">
        <f>T135</f>
        <v>808</v>
      </c>
      <c r="V125" s="20">
        <f>U135</f>
        <v>808</v>
      </c>
      <c r="W125" s="20">
        <f>V135</f>
        <v>808</v>
      </c>
      <c r="Y125" s="246">
        <f>T125</f>
        <v>808</v>
      </c>
      <c r="Z125" s="20">
        <f>Y135</f>
        <v>808</v>
      </c>
      <c r="AA125" s="20">
        <f>Z135</f>
        <v>808</v>
      </c>
      <c r="AB125" s="20">
        <f>AA135</f>
        <v>808</v>
      </c>
      <c r="AC125" s="20">
        <f>AB135</f>
        <v>808</v>
      </c>
      <c r="AD125" s="43"/>
    </row>
    <row r="126" spans="1:30" x14ac:dyDescent="0.25">
      <c r="A126" s="15" t="s">
        <v>184</v>
      </c>
      <c r="B126" s="59"/>
      <c r="C126" s="59"/>
      <c r="F126" s="20">
        <v>2</v>
      </c>
      <c r="G126" s="20">
        <f>4-F126</f>
        <v>2</v>
      </c>
      <c r="H126" s="20">
        <f>9-G126-F126</f>
        <v>5</v>
      </c>
      <c r="I126" s="20">
        <f>12-H126-G126-F126</f>
        <v>3</v>
      </c>
      <c r="J126" s="20">
        <v>2</v>
      </c>
      <c r="K126" s="20">
        <f>4-J126</f>
        <v>2</v>
      </c>
      <c r="L126" s="20">
        <f>6-K126-J126</f>
        <v>2</v>
      </c>
      <c r="M126" s="20">
        <f>7-L126-K126-J126</f>
        <v>1</v>
      </c>
      <c r="N126" s="20">
        <v>0</v>
      </c>
      <c r="O126" s="20">
        <v>2</v>
      </c>
      <c r="P126" s="20">
        <v>0</v>
      </c>
      <c r="Q126" s="20">
        <f>3-SUM(N126:P126)</f>
        <v>1</v>
      </c>
      <c r="R126" s="20">
        <v>0</v>
      </c>
      <c r="T126" s="102">
        <v>0</v>
      </c>
      <c r="U126" s="102">
        <v>0</v>
      </c>
      <c r="V126" s="102">
        <v>0</v>
      </c>
      <c r="W126" s="102">
        <v>0</v>
      </c>
      <c r="Y126" s="246">
        <f>SUM(T126:W126)</f>
        <v>0</v>
      </c>
      <c r="Z126" s="102">
        <v>0</v>
      </c>
      <c r="AA126" s="102">
        <v>0</v>
      </c>
      <c r="AB126" s="102">
        <v>0</v>
      </c>
      <c r="AC126" s="102">
        <v>0</v>
      </c>
      <c r="AD126" s="43"/>
    </row>
    <row r="127" spans="1:30" x14ac:dyDescent="0.25">
      <c r="A127" s="15" t="s">
        <v>185</v>
      </c>
      <c r="B127" s="59"/>
      <c r="C127" s="59"/>
      <c r="F127" s="20">
        <v>0</v>
      </c>
      <c r="G127" s="20">
        <v>0</v>
      </c>
      <c r="H127" s="20">
        <v>0</v>
      </c>
      <c r="I127" s="20">
        <v>0</v>
      </c>
      <c r="J127" s="20">
        <v>0</v>
      </c>
      <c r="K127" s="20">
        <v>0</v>
      </c>
      <c r="L127" s="20">
        <v>0</v>
      </c>
      <c r="M127" s="20">
        <v>0</v>
      </c>
      <c r="N127" s="20">
        <v>0</v>
      </c>
      <c r="O127" s="20">
        <v>0</v>
      </c>
      <c r="P127" s="20">
        <v>0</v>
      </c>
      <c r="Q127" s="20">
        <f>0-SUM(N127:P127)</f>
        <v>0</v>
      </c>
      <c r="R127" s="20">
        <v>0</v>
      </c>
      <c r="T127" s="102">
        <v>0</v>
      </c>
      <c r="U127" s="102">
        <v>0</v>
      </c>
      <c r="V127" s="102">
        <v>0</v>
      </c>
      <c r="W127" s="102">
        <v>0</v>
      </c>
      <c r="Y127" s="246">
        <f>SUM(T127:W127)</f>
        <v>0</v>
      </c>
      <c r="Z127" s="102">
        <v>0</v>
      </c>
      <c r="AA127" s="102">
        <v>0</v>
      </c>
      <c r="AB127" s="102">
        <v>0</v>
      </c>
      <c r="AC127" s="102">
        <v>0</v>
      </c>
      <c r="AD127" s="43"/>
    </row>
    <row r="128" spans="1:30" x14ac:dyDescent="0.25">
      <c r="A128" s="15" t="s">
        <v>186</v>
      </c>
      <c r="B128" s="59"/>
      <c r="C128" s="59"/>
      <c r="F128" s="20">
        <v>0</v>
      </c>
      <c r="G128" s="20">
        <v>0</v>
      </c>
      <c r="H128" s="20">
        <v>0</v>
      </c>
      <c r="I128" s="20">
        <v>0</v>
      </c>
      <c r="J128" s="20">
        <v>0</v>
      </c>
      <c r="K128" s="20">
        <v>0</v>
      </c>
      <c r="L128" s="20">
        <v>0</v>
      </c>
      <c r="M128" s="20">
        <v>0</v>
      </c>
      <c r="N128" s="20">
        <v>0</v>
      </c>
      <c r="O128" s="20">
        <v>0</v>
      </c>
      <c r="P128" s="20">
        <v>0</v>
      </c>
      <c r="Q128" s="20">
        <v>0</v>
      </c>
      <c r="R128" s="20">
        <v>0</v>
      </c>
      <c r="T128" s="102">
        <v>0</v>
      </c>
      <c r="U128" s="102">
        <v>0</v>
      </c>
      <c r="V128" s="102">
        <v>0</v>
      </c>
      <c r="W128" s="102">
        <v>0</v>
      </c>
      <c r="Y128" s="246">
        <f>SUM(T128:W128)</f>
        <v>0</v>
      </c>
      <c r="Z128" s="102">
        <v>0</v>
      </c>
      <c r="AA128" s="102">
        <v>0</v>
      </c>
      <c r="AB128" s="102">
        <v>0</v>
      </c>
      <c r="AC128" s="102">
        <v>0</v>
      </c>
      <c r="AD128" s="43"/>
    </row>
    <row r="129" spans="1:30" x14ac:dyDescent="0.25">
      <c r="A129" s="15" t="s">
        <v>187</v>
      </c>
      <c r="B129" s="59"/>
      <c r="C129" s="59"/>
      <c r="F129" s="22">
        <v>-2</v>
      </c>
      <c r="G129" s="22">
        <f>-4-F129</f>
        <v>-2</v>
      </c>
      <c r="H129" s="22">
        <f>-6-G129-F129</f>
        <v>-2</v>
      </c>
      <c r="I129" s="22">
        <f>-9-H129-G129-F129</f>
        <v>-3</v>
      </c>
      <c r="J129" s="22">
        <v>-1</v>
      </c>
      <c r="K129" s="22">
        <f>-2-J129</f>
        <v>-1</v>
      </c>
      <c r="L129" s="22">
        <f>-4-K129-J129</f>
        <v>-2</v>
      </c>
      <c r="M129" s="22">
        <f>-4-L129-K129-J129</f>
        <v>0</v>
      </c>
      <c r="N129" s="22">
        <v>0</v>
      </c>
      <c r="O129" s="22">
        <v>-1</v>
      </c>
      <c r="P129" s="22">
        <v>0</v>
      </c>
      <c r="Q129" s="22">
        <f>-2-SUM(N129:P129)</f>
        <v>-1</v>
      </c>
      <c r="R129" s="22">
        <v>0</v>
      </c>
      <c r="T129" s="103">
        <v>0</v>
      </c>
      <c r="U129" s="103">
        <v>0</v>
      </c>
      <c r="V129" s="103">
        <v>0</v>
      </c>
      <c r="W129" s="103">
        <v>0</v>
      </c>
      <c r="Y129" s="247">
        <f>SUM(T129:W129)</f>
        <v>0</v>
      </c>
      <c r="Z129" s="103">
        <v>0</v>
      </c>
      <c r="AA129" s="103">
        <v>0</v>
      </c>
      <c r="AB129" s="103">
        <v>0</v>
      </c>
      <c r="AC129" s="103">
        <v>0</v>
      </c>
      <c r="AD129" s="43"/>
    </row>
    <row r="130" spans="1:30" x14ac:dyDescent="0.25">
      <c r="A130" s="9" t="s">
        <v>188</v>
      </c>
      <c r="B130" s="10"/>
      <c r="C130" s="10"/>
      <c r="F130" s="19">
        <f t="shared" ref="F130:Q130" si="20">SUM(F126:F129)</f>
        <v>0</v>
      </c>
      <c r="G130" s="19">
        <f t="shared" si="20"/>
        <v>0</v>
      </c>
      <c r="H130" s="19">
        <f t="shared" si="20"/>
        <v>3</v>
      </c>
      <c r="I130" s="19">
        <f t="shared" si="20"/>
        <v>0</v>
      </c>
      <c r="J130" s="19">
        <f t="shared" si="20"/>
        <v>1</v>
      </c>
      <c r="K130" s="19">
        <f t="shared" si="20"/>
        <v>1</v>
      </c>
      <c r="L130" s="23">
        <f t="shared" si="20"/>
        <v>0</v>
      </c>
      <c r="M130" s="19">
        <f t="shared" si="20"/>
        <v>1</v>
      </c>
      <c r="N130" s="19">
        <f t="shared" si="20"/>
        <v>0</v>
      </c>
      <c r="O130" s="19">
        <f t="shared" si="20"/>
        <v>1</v>
      </c>
      <c r="P130" s="19">
        <f t="shared" si="20"/>
        <v>0</v>
      </c>
      <c r="Q130" s="19">
        <f t="shared" si="20"/>
        <v>0</v>
      </c>
      <c r="R130" s="19">
        <f t="shared" ref="R130" si="21">SUM(R126:R129)</f>
        <v>0</v>
      </c>
      <c r="T130" s="19">
        <f>SUM(T126:T129)</f>
        <v>0</v>
      </c>
      <c r="U130" s="19">
        <f>SUM(U126:U129)</f>
        <v>0</v>
      </c>
      <c r="V130" s="19">
        <f>SUM(V126:V129)</f>
        <v>0</v>
      </c>
      <c r="W130" s="19">
        <f>SUM(W126:W129)</f>
        <v>0</v>
      </c>
      <c r="Y130" s="19">
        <f>SUM(Y126:Y129)</f>
        <v>0</v>
      </c>
      <c r="Z130" s="19">
        <f>SUM(Z126:Z129)</f>
        <v>0</v>
      </c>
      <c r="AA130" s="19">
        <f>SUM(AA126:AA129)</f>
        <v>0</v>
      </c>
      <c r="AB130" s="19">
        <f>SUM(AB126:AB129)</f>
        <v>0</v>
      </c>
      <c r="AC130" s="19">
        <f>SUM(AC126:AC129)</f>
        <v>0</v>
      </c>
      <c r="AD130" s="43"/>
    </row>
    <row r="131" spans="1:30" x14ac:dyDescent="0.25">
      <c r="A131" s="9"/>
      <c r="B131" s="10"/>
      <c r="C131" s="10"/>
      <c r="F131" s="19"/>
      <c r="G131" s="19"/>
      <c r="H131" s="19"/>
      <c r="I131" s="19"/>
      <c r="J131" s="19"/>
      <c r="K131" s="19"/>
      <c r="L131" s="23"/>
      <c r="M131" s="19"/>
      <c r="N131" s="19"/>
      <c r="O131" s="19"/>
      <c r="P131" s="19"/>
      <c r="Q131" s="19"/>
      <c r="R131" s="19"/>
      <c r="T131" s="19"/>
      <c r="U131" s="19"/>
      <c r="V131" s="19"/>
      <c r="W131" s="19"/>
      <c r="Y131" s="82"/>
      <c r="Z131" s="19"/>
      <c r="AA131" s="19"/>
      <c r="AB131" s="19"/>
      <c r="AC131" s="19"/>
      <c r="AD131" s="43"/>
    </row>
    <row r="132" spans="1:30" x14ac:dyDescent="0.25">
      <c r="A132" s="15" t="s">
        <v>189</v>
      </c>
      <c r="B132" s="59"/>
      <c r="C132" s="59"/>
      <c r="F132" s="20">
        <v>0</v>
      </c>
      <c r="G132" s="20">
        <v>0</v>
      </c>
      <c r="H132" s="20">
        <v>0</v>
      </c>
      <c r="I132" s="20">
        <v>0</v>
      </c>
      <c r="J132" s="20">
        <v>0</v>
      </c>
      <c r="K132" s="20">
        <v>0</v>
      </c>
      <c r="L132" s="20">
        <v>0</v>
      </c>
      <c r="M132" s="20">
        <v>0</v>
      </c>
      <c r="N132" s="20">
        <v>0</v>
      </c>
      <c r="O132" s="20">
        <v>0</v>
      </c>
      <c r="P132" s="20">
        <v>0</v>
      </c>
      <c r="Q132" s="20">
        <v>0</v>
      </c>
      <c r="R132" s="20">
        <v>0</v>
      </c>
      <c r="T132" s="102">
        <v>0</v>
      </c>
      <c r="U132" s="102">
        <v>0</v>
      </c>
      <c r="V132" s="102">
        <v>0</v>
      </c>
      <c r="W132" s="102">
        <v>0</v>
      </c>
      <c r="Y132" s="246">
        <f>SUM(T132:W132)</f>
        <v>0</v>
      </c>
      <c r="Z132" s="102">
        <v>0</v>
      </c>
      <c r="AA132" s="102">
        <v>0</v>
      </c>
      <c r="AB132" s="102">
        <v>0</v>
      </c>
      <c r="AC132" s="102">
        <v>0</v>
      </c>
      <c r="AD132" s="43"/>
    </row>
    <row r="133" spans="1:30" x14ac:dyDescent="0.25">
      <c r="A133" s="15" t="s">
        <v>190</v>
      </c>
      <c r="B133" s="59"/>
      <c r="C133" s="59"/>
      <c r="F133" s="20">
        <v>0</v>
      </c>
      <c r="G133" s="20">
        <v>0</v>
      </c>
      <c r="H133" s="20">
        <v>0</v>
      </c>
      <c r="I133" s="20">
        <v>0</v>
      </c>
      <c r="J133" s="20">
        <v>0</v>
      </c>
      <c r="K133" s="20">
        <v>0</v>
      </c>
      <c r="L133" s="20">
        <v>0</v>
      </c>
      <c r="M133" s="20">
        <v>0</v>
      </c>
      <c r="N133" s="20">
        <v>0</v>
      </c>
      <c r="O133" s="20">
        <v>0</v>
      </c>
      <c r="P133" s="20">
        <v>0</v>
      </c>
      <c r="Q133" s="20">
        <v>0</v>
      </c>
      <c r="R133" s="20">
        <v>0</v>
      </c>
      <c r="T133" s="102">
        <v>0</v>
      </c>
      <c r="U133" s="102">
        <v>0</v>
      </c>
      <c r="V133" s="102">
        <v>0</v>
      </c>
      <c r="W133" s="102">
        <v>0</v>
      </c>
      <c r="Y133" s="246">
        <f>SUM(T133:W133)</f>
        <v>0</v>
      </c>
      <c r="Z133" s="102">
        <v>0</v>
      </c>
      <c r="AA133" s="102">
        <v>0</v>
      </c>
      <c r="AB133" s="102">
        <v>0</v>
      </c>
      <c r="AC133" s="102">
        <v>0</v>
      </c>
      <c r="AD133" s="43"/>
    </row>
    <row r="134" spans="1:30" x14ac:dyDescent="0.25">
      <c r="A134" s="15" t="s">
        <v>191</v>
      </c>
      <c r="B134" s="59"/>
      <c r="C134" s="59"/>
      <c r="F134" s="22">
        <v>-7</v>
      </c>
      <c r="G134" s="22">
        <f>-21-F134</f>
        <v>-14</v>
      </c>
      <c r="H134" s="22">
        <f>-48-G134-F134</f>
        <v>-27</v>
      </c>
      <c r="I134" s="22">
        <f>-73-H134-G134-F134</f>
        <v>-25</v>
      </c>
      <c r="J134" s="22">
        <v>-17</v>
      </c>
      <c r="K134" s="22">
        <f>-43-J134</f>
        <v>-26</v>
      </c>
      <c r="L134" s="22">
        <f>-73-K134-J134</f>
        <v>-30</v>
      </c>
      <c r="M134" s="22">
        <f>-94-L134-K134-J134</f>
        <v>-21</v>
      </c>
      <c r="N134" s="22">
        <v>-6</v>
      </c>
      <c r="O134" s="22">
        <v>-8</v>
      </c>
      <c r="P134" s="22">
        <v>-22</v>
      </c>
      <c r="Q134" s="22">
        <f>-47-SUM(N134:P134)</f>
        <v>-11</v>
      </c>
      <c r="R134" s="22">
        <v>-8</v>
      </c>
      <c r="T134" s="103">
        <v>0</v>
      </c>
      <c r="U134" s="103">
        <v>0</v>
      </c>
      <c r="V134" s="103">
        <v>0</v>
      </c>
      <c r="W134" s="103">
        <v>0</v>
      </c>
      <c r="Y134" s="247">
        <f>SUM(T134:W134)</f>
        <v>0</v>
      </c>
      <c r="Z134" s="103">
        <v>0</v>
      </c>
      <c r="AA134" s="103">
        <v>0</v>
      </c>
      <c r="AB134" s="103">
        <v>0</v>
      </c>
      <c r="AC134" s="103">
        <v>0</v>
      </c>
      <c r="AD134" s="43"/>
    </row>
    <row r="135" spans="1:30" x14ac:dyDescent="0.25">
      <c r="A135" s="9" t="s">
        <v>192</v>
      </c>
      <c r="B135" s="10"/>
      <c r="C135" s="10"/>
      <c r="F135" s="19">
        <f t="shared" ref="F135:R135" si="22">F125+SUM(F130:F134)</f>
        <v>1016</v>
      </c>
      <c r="G135" s="19">
        <f t="shared" si="22"/>
        <v>1002</v>
      </c>
      <c r="H135" s="19">
        <f t="shared" si="22"/>
        <v>978</v>
      </c>
      <c r="I135" s="19">
        <f t="shared" si="22"/>
        <v>953</v>
      </c>
      <c r="J135" s="19">
        <f t="shared" si="22"/>
        <v>937</v>
      </c>
      <c r="K135" s="19">
        <f t="shared" si="22"/>
        <v>912</v>
      </c>
      <c r="L135" s="23">
        <f t="shared" si="22"/>
        <v>882</v>
      </c>
      <c r="M135" s="19">
        <f t="shared" si="22"/>
        <v>862</v>
      </c>
      <c r="N135" s="19">
        <f t="shared" si="22"/>
        <v>856</v>
      </c>
      <c r="O135" s="19">
        <f t="shared" si="22"/>
        <v>849</v>
      </c>
      <c r="P135" s="19">
        <f t="shared" si="22"/>
        <v>827</v>
      </c>
      <c r="Q135" s="19">
        <f t="shared" si="22"/>
        <v>816</v>
      </c>
      <c r="R135" s="19">
        <f t="shared" si="22"/>
        <v>808</v>
      </c>
      <c r="T135" s="19">
        <f>T125+SUM(T130:T134)</f>
        <v>808</v>
      </c>
      <c r="U135" s="19">
        <f>U125+SUM(U130:U134)</f>
        <v>808</v>
      </c>
      <c r="V135" s="19">
        <f>V125+SUM(V130:V134)</f>
        <v>808</v>
      </c>
      <c r="W135" s="19">
        <f>W125+SUM(W130:W134)</f>
        <v>808</v>
      </c>
      <c r="Y135" s="19">
        <f>Y125+SUM(Y130:Y134)</f>
        <v>808</v>
      </c>
      <c r="Z135" s="19">
        <f>Z125+SUM(Z130:Z134)</f>
        <v>808</v>
      </c>
      <c r="AA135" s="19">
        <f>AA125+SUM(AA130:AA134)</f>
        <v>808</v>
      </c>
      <c r="AB135" s="19">
        <f>AB125+SUM(AB130:AB134)</f>
        <v>808</v>
      </c>
      <c r="AC135" s="19">
        <f>AC125+SUM(AC130:AC134)</f>
        <v>808</v>
      </c>
      <c r="AD135" s="43"/>
    </row>
    <row r="136" spans="1:30" s="209" customFormat="1" x14ac:dyDescent="0.25">
      <c r="B136" s="512"/>
      <c r="C136" s="512"/>
      <c r="F136" s="216"/>
      <c r="G136" s="216"/>
      <c r="H136" s="225"/>
      <c r="I136" s="225"/>
      <c r="J136" s="225"/>
      <c r="K136" s="225"/>
      <c r="L136" s="225"/>
      <c r="M136" s="225"/>
      <c r="N136" s="225"/>
      <c r="O136" s="225"/>
      <c r="P136" s="225"/>
      <c r="Q136" s="225"/>
      <c r="R136" s="225"/>
      <c r="T136" s="225"/>
      <c r="U136" s="225"/>
      <c r="V136" s="225"/>
      <c r="W136" s="225"/>
      <c r="X136" s="217"/>
      <c r="Y136" s="249"/>
      <c r="Z136" s="43"/>
      <c r="AA136" s="217"/>
      <c r="AB136" s="217"/>
      <c r="AC136" s="217"/>
      <c r="AD136" s="217"/>
    </row>
    <row r="137" spans="1:30" s="209" customFormat="1" x14ac:dyDescent="0.25">
      <c r="A137" s="414" t="s">
        <v>8704</v>
      </c>
      <c r="B137" s="137"/>
      <c r="C137" s="137"/>
      <c r="F137" s="216"/>
      <c r="G137" s="216"/>
      <c r="H137" s="225"/>
      <c r="I137" s="225"/>
      <c r="J137" s="225"/>
      <c r="K137" s="225"/>
      <c r="L137" s="225"/>
      <c r="M137" s="225"/>
      <c r="N137" s="225"/>
      <c r="O137" s="225"/>
      <c r="P137" s="225"/>
      <c r="Q137" s="225"/>
      <c r="R137" s="225"/>
      <c r="T137" s="225"/>
      <c r="U137" s="225"/>
      <c r="V137" s="225"/>
      <c r="W137" s="225"/>
      <c r="X137" s="217"/>
      <c r="Y137" s="249"/>
      <c r="Z137" s="43"/>
      <c r="AA137" s="217"/>
      <c r="AB137" s="217"/>
      <c r="AC137" s="217"/>
      <c r="AD137" s="217"/>
    </row>
    <row r="138" spans="1:30" x14ac:dyDescent="0.25">
      <c r="A138" s="15" t="s">
        <v>8847</v>
      </c>
      <c r="B138" s="59"/>
      <c r="C138" s="59"/>
      <c r="I138" s="80"/>
      <c r="L138" s="31"/>
      <c r="O138" s="386"/>
      <c r="P138" s="83">
        <f>'Regis Corp. model'!N124</f>
        <v>1427.3389999999999</v>
      </c>
      <c r="Q138" s="83">
        <f>'Regis Corp. model'!O124</f>
        <v>1415.9490000000001</v>
      </c>
      <c r="R138" s="83">
        <f>'Regis Corp. model'!P124</f>
        <v>1209.9280000000001</v>
      </c>
      <c r="X138" s="43"/>
      <c r="Y138" s="43"/>
      <c r="Z138" s="43"/>
      <c r="AA138" s="43"/>
      <c r="AB138" s="43"/>
      <c r="AC138" s="43"/>
      <c r="AD138" s="43"/>
    </row>
    <row r="139" spans="1:30" x14ac:dyDescent="0.25">
      <c r="A139" s="70" t="s">
        <v>8674</v>
      </c>
      <c r="B139" s="64"/>
      <c r="C139" s="64"/>
      <c r="I139" s="80"/>
      <c r="L139" s="31"/>
      <c r="O139" s="71"/>
      <c r="P139" s="55">
        <f>-'Regis Corp. model'!N119</f>
        <v>-423.70400000000001</v>
      </c>
      <c r="Q139" s="55">
        <f>-'Regis Corp. model'!O119</f>
        <v>-425.26400000000001</v>
      </c>
      <c r="R139" s="55">
        <f>-'Regis Corp. model'!P119</f>
        <v>-423.27800000000002</v>
      </c>
      <c r="X139" s="43"/>
      <c r="Y139" s="43"/>
      <c r="Z139" s="43"/>
      <c r="AA139" s="43"/>
      <c r="AB139" s="43"/>
      <c r="AC139" s="43"/>
      <c r="AD139" s="43"/>
    </row>
    <row r="140" spans="1:30" x14ac:dyDescent="0.25">
      <c r="A140" s="70" t="s">
        <v>8675</v>
      </c>
      <c r="B140" s="64"/>
      <c r="C140" s="64"/>
      <c r="I140" s="80"/>
      <c r="L140" s="31"/>
      <c r="O140" s="71"/>
      <c r="P140" s="55">
        <f>-('Regis Corp. model'!N124-'Regis Corp. model'!N119-'Regis Corp. model'!N121)*('Regis Corp. model'!N589/'Regis Corp. model'!N602)</f>
        <v>-46.903528768621022</v>
      </c>
      <c r="Q140" s="55">
        <f>-('Regis Corp. model'!O124-'Regis Corp. model'!O119-'Regis Corp. model'!O121)*('Regis Corp. model'!O589/'Regis Corp. model'!O602)</f>
        <v>-47.594701113096058</v>
      </c>
      <c r="R140" s="55">
        <f>-('Regis Corp. model'!P124-'Regis Corp. model'!P119-'Regis Corp. model'!P121)*('Regis Corp. model'!P589/'Regis Corp. model'!P602)</f>
        <v>-37.980961762261018</v>
      </c>
      <c r="X140" s="43"/>
      <c r="Y140" s="43"/>
      <c r="Z140" s="43"/>
      <c r="AA140" s="43"/>
      <c r="AB140" s="43"/>
      <c r="AC140" s="43"/>
      <c r="AD140" s="43"/>
    </row>
    <row r="141" spans="1:30" x14ac:dyDescent="0.25">
      <c r="A141" s="70" t="s">
        <v>8676</v>
      </c>
      <c r="B141" s="64"/>
      <c r="C141" s="64"/>
      <c r="I141" s="80"/>
      <c r="L141" s="31"/>
      <c r="O141" s="71"/>
      <c r="P141" s="62">
        <f>-'Regis Corp. model'!N121</f>
        <v>-44.994999999999997</v>
      </c>
      <c r="Q141" s="62">
        <f>-'Regis Corp. model'!O121</f>
        <v>-28.611000000000001</v>
      </c>
      <c r="R141" s="62">
        <f>-'Regis Corp. model'!P121</f>
        <v>-29.338999999999999</v>
      </c>
      <c r="X141" s="43"/>
      <c r="Y141" s="43"/>
      <c r="Z141" s="43"/>
      <c r="AA141" s="43"/>
      <c r="AB141" s="43"/>
      <c r="AC141" s="43"/>
      <c r="AD141" s="43"/>
    </row>
    <row r="142" spans="1:30" x14ac:dyDescent="0.25">
      <c r="A142" s="262" t="s">
        <v>8677</v>
      </c>
      <c r="B142" s="378"/>
      <c r="C142" s="378"/>
      <c r="I142" s="80"/>
      <c r="L142" s="31"/>
      <c r="O142" s="387"/>
      <c r="P142" s="91">
        <f>SUM(P138:P141)</f>
        <v>911.73647123137891</v>
      </c>
      <c r="Q142" s="91">
        <f t="shared" ref="Q142:R142" si="23">SUM(Q138:Q141)</f>
        <v>914.47929888690396</v>
      </c>
      <c r="R142" s="91">
        <f t="shared" si="23"/>
        <v>719.33003823773902</v>
      </c>
      <c r="X142" s="43"/>
      <c r="Y142" s="43"/>
      <c r="Z142" s="43"/>
      <c r="AA142" s="43"/>
      <c r="AB142" s="43"/>
      <c r="AC142" s="43"/>
      <c r="AD142" s="43"/>
    </row>
    <row r="143" spans="1:30" x14ac:dyDescent="0.25">
      <c r="B143" s="82"/>
      <c r="C143" s="82"/>
      <c r="I143" s="80"/>
      <c r="L143" s="31"/>
      <c r="O143" s="43"/>
      <c r="X143" s="43"/>
      <c r="Y143" s="43"/>
      <c r="Z143" s="43"/>
      <c r="AA143" s="43"/>
      <c r="AB143" s="43"/>
      <c r="AC143" s="43"/>
      <c r="AD143" s="43"/>
    </row>
    <row r="144" spans="1:30" x14ac:dyDescent="0.25">
      <c r="A144" s="261" t="s">
        <v>8678</v>
      </c>
      <c r="B144" s="518"/>
      <c r="C144" s="518"/>
      <c r="I144" s="80"/>
      <c r="L144" s="31"/>
      <c r="O144" s="388"/>
      <c r="P144" s="80">
        <f>P142*(P148/P149)</f>
        <v>103.91501705432104</v>
      </c>
      <c r="Q144" s="80">
        <f t="shared" ref="Q144:R144" si="24">Q142*(Q148/Q149)</f>
        <v>102.95254817535859</v>
      </c>
      <c r="R144" s="80">
        <f t="shared" si="24"/>
        <v>80.592754887760478</v>
      </c>
      <c r="X144" s="43"/>
      <c r="Y144" s="43"/>
      <c r="Z144" s="43"/>
      <c r="AA144" s="43"/>
      <c r="AB144" s="43"/>
      <c r="AC144" s="43"/>
      <c r="AD144" s="43"/>
    </row>
    <row r="145" spans="1:30" x14ac:dyDescent="0.25">
      <c r="A145" s="261"/>
      <c r="B145" s="518"/>
      <c r="C145" s="518"/>
      <c r="I145" s="80"/>
      <c r="L145" s="31"/>
      <c r="O145" s="388"/>
      <c r="P145" s="80"/>
      <c r="Q145" s="80"/>
      <c r="R145" s="80"/>
      <c r="X145" s="43"/>
      <c r="Y145" s="43"/>
      <c r="Z145" s="43"/>
      <c r="AA145" s="43"/>
      <c r="AB145" s="43"/>
      <c r="AC145" s="43"/>
      <c r="AD145" s="43"/>
    </row>
    <row r="146" spans="1:30" x14ac:dyDescent="0.25">
      <c r="A146" s="414" t="s">
        <v>8649</v>
      </c>
      <c r="B146" s="137"/>
      <c r="C146" s="137"/>
      <c r="X146" s="43"/>
      <c r="Y146" s="43"/>
      <c r="Z146" s="43"/>
      <c r="AA146" s="43"/>
      <c r="AB146" s="43"/>
      <c r="AC146" s="43"/>
      <c r="AD146" s="43"/>
    </row>
    <row r="147" spans="1:30" x14ac:dyDescent="0.25">
      <c r="A147" s="209" t="s">
        <v>8652</v>
      </c>
      <c r="B147" s="512"/>
      <c r="C147" s="512"/>
      <c r="F147" s="381"/>
      <c r="G147" s="381"/>
      <c r="H147" s="381"/>
      <c r="I147" s="381"/>
      <c r="J147" s="382">
        <v>0</v>
      </c>
      <c r="K147" s="382">
        <v>0</v>
      </c>
      <c r="L147" s="383"/>
      <c r="M147" s="381"/>
      <c r="N147" s="382">
        <v>0</v>
      </c>
      <c r="O147" s="382">
        <f>-34.9</f>
        <v>-34.9</v>
      </c>
      <c r="P147" s="382">
        <v>0</v>
      </c>
      <c r="Q147" s="382">
        <v>0</v>
      </c>
      <c r="R147" s="382">
        <v>0</v>
      </c>
      <c r="S147" s="381"/>
      <c r="T147" s="384">
        <v>0</v>
      </c>
      <c r="U147" s="384">
        <v>0</v>
      </c>
      <c r="V147" s="384">
        <v>0</v>
      </c>
      <c r="W147" s="384">
        <v>0</v>
      </c>
      <c r="X147" s="385"/>
      <c r="Y147" s="385">
        <f>SUM(T147:W147)</f>
        <v>0</v>
      </c>
      <c r="Z147" s="384">
        <v>0</v>
      </c>
      <c r="AA147" s="384">
        <v>0</v>
      </c>
      <c r="AB147" s="384">
        <v>0</v>
      </c>
      <c r="AC147" s="384">
        <v>0</v>
      </c>
      <c r="AD147" s="43"/>
    </row>
    <row r="148" spans="1:30" x14ac:dyDescent="0.25">
      <c r="A148" s="211" t="s">
        <v>8656</v>
      </c>
      <c r="B148" s="519"/>
      <c r="C148" s="519"/>
      <c r="D148" s="209"/>
      <c r="E148" s="209"/>
      <c r="F148" s="212">
        <f t="shared" ref="F148:R148" si="25">AVERAGE(F125,F135)</f>
        <v>1019.5</v>
      </c>
      <c r="G148" s="212">
        <f t="shared" si="25"/>
        <v>1009</v>
      </c>
      <c r="H148" s="212">
        <f t="shared" si="25"/>
        <v>990</v>
      </c>
      <c r="I148" s="212">
        <f t="shared" si="25"/>
        <v>965.5</v>
      </c>
      <c r="J148" s="212">
        <f t="shared" si="25"/>
        <v>945</v>
      </c>
      <c r="K148" s="212">
        <f t="shared" si="25"/>
        <v>924.5</v>
      </c>
      <c r="L148" s="212">
        <f t="shared" si="25"/>
        <v>897</v>
      </c>
      <c r="M148" s="212">
        <f t="shared" si="25"/>
        <v>872</v>
      </c>
      <c r="N148" s="212">
        <f t="shared" si="25"/>
        <v>859</v>
      </c>
      <c r="O148" s="212">
        <f t="shared" si="25"/>
        <v>852.5</v>
      </c>
      <c r="P148" s="212">
        <f t="shared" si="25"/>
        <v>838</v>
      </c>
      <c r="Q148" s="212">
        <f t="shared" si="25"/>
        <v>821.5</v>
      </c>
      <c r="R148" s="212">
        <f t="shared" si="25"/>
        <v>812</v>
      </c>
      <c r="T148" s="212">
        <f>AVERAGE(T125,T135)</f>
        <v>808</v>
      </c>
      <c r="U148" s="212">
        <f>AVERAGE(U125,U135)</f>
        <v>808</v>
      </c>
      <c r="V148" s="212">
        <f>AVERAGE(V125,V135)</f>
        <v>808</v>
      </c>
      <c r="W148" s="212">
        <f>AVERAGE(W125,W135)</f>
        <v>808</v>
      </c>
      <c r="X148" s="43"/>
      <c r="Y148" s="212">
        <f>AVERAGE(Y125,Y135)</f>
        <v>808</v>
      </c>
      <c r="Z148" s="212">
        <f>AVERAGE(Z125,Z135)</f>
        <v>808</v>
      </c>
      <c r="AA148" s="212">
        <f>AVERAGE(AA125,AA135)</f>
        <v>808</v>
      </c>
      <c r="AB148" s="212">
        <f>AVERAGE(AB125,AB135)</f>
        <v>808</v>
      </c>
      <c r="AC148" s="212">
        <f>AVERAGE(AC125,AC135)</f>
        <v>808</v>
      </c>
      <c r="AD148" s="43"/>
    </row>
    <row r="149" spans="1:30" x14ac:dyDescent="0.25">
      <c r="A149" s="211" t="s">
        <v>8657</v>
      </c>
      <c r="B149" s="519"/>
      <c r="C149" s="519"/>
      <c r="D149" s="209"/>
      <c r="E149" s="209"/>
      <c r="F149" s="212">
        <f>'Regis Corp. model'!D210+'Regis Corp. model'!D213</f>
        <v>7883.5</v>
      </c>
      <c r="G149" s="212">
        <f>'Regis Corp. model'!E210+'Regis Corp. model'!E213</f>
        <v>7867.5</v>
      </c>
      <c r="H149" s="212">
        <f>'Regis Corp. model'!F210+'Regis Corp. model'!F213</f>
        <v>7809</v>
      </c>
      <c r="I149" s="212">
        <f>'Regis Corp. model'!G210+'Regis Corp. model'!G213</f>
        <v>7744.5</v>
      </c>
      <c r="J149" s="212">
        <f>'Regis Corp. model'!H210+'Regis Corp. model'!H213</f>
        <v>7701</v>
      </c>
      <c r="K149" s="212">
        <f>'Regis Corp. model'!I210+'Regis Corp. model'!I213</f>
        <v>7640.5</v>
      </c>
      <c r="L149" s="212">
        <f>'Regis Corp. model'!J210+'Regis Corp. model'!J213</f>
        <v>7567</v>
      </c>
      <c r="M149" s="212">
        <f>'Regis Corp. model'!K210+'Regis Corp. model'!K213</f>
        <v>7484</v>
      </c>
      <c r="N149" s="212">
        <f>'Regis Corp. model'!L210+'Regis Corp. model'!L213</f>
        <v>7419</v>
      </c>
      <c r="O149" s="212">
        <f>'Regis Corp. model'!M210+'Regis Corp. model'!M213</f>
        <v>7395.5</v>
      </c>
      <c r="P149" s="212">
        <f>'Regis Corp. model'!N210+'Regis Corp. model'!N213</f>
        <v>7352.5</v>
      </c>
      <c r="Q149" s="212">
        <f>'Regis Corp. model'!O210+'Regis Corp. model'!O213</f>
        <v>7297</v>
      </c>
      <c r="R149" s="212">
        <f>'Regis Corp. model'!P210+'Regis Corp. model'!P213</f>
        <v>7247.5</v>
      </c>
      <c r="T149" s="212">
        <f>'Regis Corp. model'!R210+'Regis Corp. model'!R213</f>
        <v>7267.5</v>
      </c>
      <c r="U149" s="212">
        <f>'Regis Corp. model'!S210+'Regis Corp. model'!S213</f>
        <v>7218</v>
      </c>
      <c r="V149" s="212">
        <f>'Regis Corp. model'!T210+'Regis Corp. model'!T213</f>
        <v>7218</v>
      </c>
      <c r="W149" s="212">
        <f>'Regis Corp. model'!U210+'Regis Corp. model'!U213</f>
        <v>7218</v>
      </c>
      <c r="X149" s="43"/>
      <c r="Y149" s="212">
        <f>'Regis Corp. model'!W210+'Regis Corp. model'!W213</f>
        <v>7218</v>
      </c>
      <c r="Z149" s="212">
        <f>'Regis Corp. model'!X210+'Regis Corp. model'!X213</f>
        <v>7218</v>
      </c>
      <c r="AA149" s="212">
        <f>'Regis Corp. model'!Y210+'Regis Corp. model'!Y213</f>
        <v>7218</v>
      </c>
      <c r="AB149" s="212">
        <f>'Regis Corp. model'!Z210+'Regis Corp. model'!Z213</f>
        <v>7218</v>
      </c>
      <c r="AC149" s="212">
        <f>'Regis Corp. model'!AA210+'Regis Corp. model'!AA213</f>
        <v>7218</v>
      </c>
      <c r="AD149" s="43"/>
    </row>
    <row r="150" spans="1:30" x14ac:dyDescent="0.25">
      <c r="A150" s="211" t="s">
        <v>8658</v>
      </c>
      <c r="B150" s="519"/>
      <c r="C150" s="519"/>
      <c r="D150" s="209"/>
      <c r="E150" s="209"/>
      <c r="F150" s="102">
        <f t="shared" ref="F150:O150" si="26">42*24</f>
        <v>1008</v>
      </c>
      <c r="G150" s="102">
        <f t="shared" si="26"/>
        <v>1008</v>
      </c>
      <c r="H150" s="102">
        <f t="shared" si="26"/>
        <v>1008</v>
      </c>
      <c r="I150" s="102">
        <f t="shared" si="26"/>
        <v>1008</v>
      </c>
      <c r="J150" s="102">
        <f t="shared" si="26"/>
        <v>1008</v>
      </c>
      <c r="K150" s="102">
        <f t="shared" si="26"/>
        <v>1008</v>
      </c>
      <c r="L150" s="102">
        <f t="shared" si="26"/>
        <v>1008</v>
      </c>
      <c r="M150" s="102">
        <f t="shared" si="26"/>
        <v>1008</v>
      </c>
      <c r="N150" s="102">
        <f t="shared" si="26"/>
        <v>1008</v>
      </c>
      <c r="O150" s="102">
        <f t="shared" si="26"/>
        <v>1008</v>
      </c>
      <c r="P150" s="102">
        <f>O150</f>
        <v>1008</v>
      </c>
      <c r="Q150" s="102">
        <f>P150</f>
        <v>1008</v>
      </c>
      <c r="R150" s="102">
        <f>Q150</f>
        <v>1008</v>
      </c>
      <c r="X150" s="43"/>
      <c r="Y150" s="43"/>
      <c r="Z150" s="43"/>
      <c r="AA150" s="43"/>
      <c r="AB150" s="43"/>
      <c r="AC150" s="43"/>
      <c r="AD150" s="43"/>
    </row>
    <row r="151" spans="1:30" x14ac:dyDescent="0.25">
      <c r="A151" s="211" t="s">
        <v>8663</v>
      </c>
      <c r="B151" s="519"/>
      <c r="C151" s="519"/>
      <c r="D151" s="209"/>
      <c r="E151" s="209"/>
      <c r="F151" s="223">
        <f>'Regis Corp. model'!D177</f>
        <v>104.866</v>
      </c>
      <c r="G151" s="223">
        <f>'Regis Corp. model'!E177</f>
        <v>104.629</v>
      </c>
      <c r="H151" s="223">
        <f>'Regis Corp. model'!F177</f>
        <v>105.50700000000001</v>
      </c>
      <c r="I151" s="223">
        <f>'Regis Corp. model'!G177</f>
        <v>99.75</v>
      </c>
      <c r="J151" s="223">
        <f>'Regis Corp. model'!H177</f>
        <v>96.867000000000004</v>
      </c>
      <c r="K151" s="223">
        <f>'Regis Corp. model'!I177</f>
        <v>94.513000000000005</v>
      </c>
      <c r="L151" s="223">
        <f>'Regis Corp. model'!J177</f>
        <v>94.093999999999994</v>
      </c>
      <c r="M151" s="223">
        <f>'Regis Corp. model'!K177</f>
        <v>91.241999999999962</v>
      </c>
      <c r="N151" s="223">
        <f>'Regis Corp. model'!L177</f>
        <v>85.061999999999998</v>
      </c>
      <c r="O151" s="223">
        <f>'Regis Corp. model'!M177</f>
        <v>84.793999999999997</v>
      </c>
      <c r="P151" s="223">
        <f>'Regis Corp. model'!N177</f>
        <v>82.878</v>
      </c>
      <c r="Q151" s="223">
        <f>'Regis Corp. model'!O177</f>
        <v>81.124000000000024</v>
      </c>
      <c r="R151" s="223">
        <f>'Regis Corp. model'!P177</f>
        <v>79.034999999999997</v>
      </c>
      <c r="X151" s="43"/>
      <c r="Y151" s="43"/>
      <c r="Z151" s="43"/>
      <c r="AA151" s="43"/>
      <c r="AB151" s="43"/>
      <c r="AC151" s="43"/>
      <c r="AD151" s="43"/>
    </row>
    <row r="152" spans="1:30" x14ac:dyDescent="0.25">
      <c r="A152" s="209" t="s">
        <v>8661</v>
      </c>
      <c r="B152" s="512"/>
      <c r="C152" s="512"/>
      <c r="H152" s="240">
        <f t="shared" ref="H152:R152" si="27">H179/H108</f>
        <v>2478.4355179704021</v>
      </c>
      <c r="I152" s="240">
        <f t="shared" si="27"/>
        <v>2402.6591836980479</v>
      </c>
      <c r="J152" s="216">
        <f t="shared" si="27"/>
        <v>2358.8285960378985</v>
      </c>
      <c r="K152" s="216">
        <f t="shared" si="27"/>
        <v>2377.4761970644095</v>
      </c>
      <c r="L152" s="240">
        <f t="shared" si="27"/>
        <v>2439.5011796427366</v>
      </c>
      <c r="M152" s="240">
        <f t="shared" si="27"/>
        <v>2433.3795604864508</v>
      </c>
      <c r="N152" s="216">
        <f t="shared" si="27"/>
        <v>2279.286352437935</v>
      </c>
      <c r="O152" s="216">
        <f t="shared" si="27"/>
        <v>2313.1419218440974</v>
      </c>
      <c r="P152" s="216">
        <f t="shared" si="27"/>
        <v>2299.9944496864068</v>
      </c>
      <c r="Q152" s="216">
        <f t="shared" si="27"/>
        <v>2321.2218148876832</v>
      </c>
      <c r="R152" s="216">
        <f t="shared" si="27"/>
        <v>2263.5754381945239</v>
      </c>
      <c r="T152" s="216">
        <f>T179/T108</f>
        <v>2820.3490748675317</v>
      </c>
      <c r="U152" s="216">
        <f>U179/U108</f>
        <v>2889.3054374572157</v>
      </c>
      <c r="V152" s="216">
        <f>V179/V108</f>
        <v>2884.9297469194157</v>
      </c>
      <c r="W152" s="216">
        <f>W179/W108</f>
        <v>2740.8672764946427</v>
      </c>
      <c r="X152" s="43"/>
      <c r="Y152" s="216">
        <f>$T$152/$Y$122*T122+$U$122/$Y$122*U152+$V$122/$Y$122*V152+$W$122/$Y$122*W152</f>
        <v>2834.4094730414063</v>
      </c>
      <c r="Z152" s="216">
        <f>Z104*Z122/4</f>
        <v>2833.8628839347011</v>
      </c>
      <c r="AA152" s="216">
        <f>AA104*AA122/4</f>
        <v>2841.6268918358924</v>
      </c>
      <c r="AB152" s="216">
        <f>AB104*AB122/4</f>
        <v>2833.8628839347011</v>
      </c>
      <c r="AC152" s="216">
        <f>AC104*AC122/4</f>
        <v>2833.8628839347011</v>
      </c>
      <c r="AD152" s="43"/>
    </row>
    <row r="153" spans="1:30" x14ac:dyDescent="0.25">
      <c r="A153" s="251" t="s">
        <v>8671</v>
      </c>
      <c r="B153" s="520"/>
      <c r="C153" s="520"/>
      <c r="H153" s="240"/>
      <c r="I153" s="240"/>
      <c r="J153" s="216"/>
      <c r="K153" s="250">
        <f t="shared" ref="K153:P153" si="28">SUM(H152:K152)</f>
        <v>9617.3994947707579</v>
      </c>
      <c r="L153" s="250">
        <f t="shared" si="28"/>
        <v>9578.4651564430915</v>
      </c>
      <c r="M153" s="250">
        <f t="shared" si="28"/>
        <v>9609.1855332314954</v>
      </c>
      <c r="N153" s="250">
        <f t="shared" si="28"/>
        <v>9529.6432896315309</v>
      </c>
      <c r="O153" s="250">
        <f t="shared" si="28"/>
        <v>9465.3090144112193</v>
      </c>
      <c r="P153" s="250">
        <f t="shared" si="28"/>
        <v>9325.8022844548886</v>
      </c>
      <c r="Q153" s="250">
        <f t="shared" ref="Q153" si="29">SUM(N152:Q152)</f>
        <v>9213.6445388561224</v>
      </c>
      <c r="R153" s="250">
        <f t="shared" ref="R153" si="30">SUM(O152:R152)</f>
        <v>9197.9336246127114</v>
      </c>
      <c r="T153" s="250">
        <f>SUM(P152:T152)</f>
        <v>9705.1407776361466</v>
      </c>
      <c r="U153" s="250">
        <f t="shared" ref="U153:W153" si="31">SUM(Q152:U152)</f>
        <v>10294.451765406953</v>
      </c>
      <c r="V153" s="250">
        <f t="shared" si="31"/>
        <v>10858.159697438687</v>
      </c>
      <c r="W153" s="250">
        <f t="shared" si="31"/>
        <v>11335.451535738805</v>
      </c>
      <c r="X153" s="43"/>
      <c r="Y153" s="250">
        <f>SUM(T152:W152)</f>
        <v>11335.451535738805</v>
      </c>
      <c r="Z153" s="250">
        <f>Z152*4</f>
        <v>11335.451535738805</v>
      </c>
      <c r="AA153" s="250">
        <f>AA152*4</f>
        <v>11366.507567343569</v>
      </c>
      <c r="AB153" s="250">
        <f>AB152*4</f>
        <v>11335.451535738805</v>
      </c>
      <c r="AC153" s="250">
        <f>AC152*4</f>
        <v>11335.451535738805</v>
      </c>
      <c r="AD153" s="43"/>
    </row>
    <row r="154" spans="1:30" s="33" customFormat="1" collapsed="1" x14ac:dyDescent="0.25">
      <c r="J154" s="47"/>
      <c r="K154" s="47"/>
      <c r="L154" s="47"/>
      <c r="M154" s="47"/>
      <c r="N154" s="47"/>
      <c r="O154" s="47"/>
      <c r="P154" s="47"/>
      <c r="Q154" s="47"/>
      <c r="R154" s="47"/>
      <c r="X154" s="46"/>
      <c r="Z154" s="46"/>
      <c r="AA154" s="46"/>
      <c r="AB154" s="46"/>
      <c r="AC154" s="46"/>
      <c r="AD154" s="46"/>
    </row>
    <row r="155" spans="1:30" x14ac:dyDescent="0.25">
      <c r="A155" s="203" t="s">
        <v>8673</v>
      </c>
      <c r="B155" s="204"/>
      <c r="C155" s="204"/>
      <c r="D155" s="204"/>
      <c r="E155" s="204"/>
      <c r="F155" s="204"/>
      <c r="G155" s="204"/>
      <c r="H155" s="204"/>
      <c r="I155" s="204"/>
      <c r="J155" s="205"/>
      <c r="K155" s="204"/>
      <c r="L155" s="206"/>
      <c r="M155" s="204"/>
      <c r="N155" s="204"/>
      <c r="O155" s="204"/>
      <c r="P155" s="204"/>
      <c r="Q155" s="204"/>
      <c r="R155" s="204"/>
      <c r="S155" s="41"/>
      <c r="T155" s="41"/>
      <c r="U155" s="41"/>
      <c r="V155" s="41"/>
      <c r="W155" s="41"/>
      <c r="X155" s="41"/>
      <c r="Y155" s="41"/>
      <c r="Z155" s="41"/>
      <c r="AA155" s="41"/>
      <c r="AB155" s="41"/>
      <c r="AC155" s="42"/>
      <c r="AD155" s="43"/>
    </row>
    <row r="156" spans="1:30" x14ac:dyDescent="0.25">
      <c r="A156" s="209"/>
      <c r="B156" s="209"/>
      <c r="C156" s="209"/>
      <c r="H156" s="618"/>
      <c r="I156" s="618"/>
      <c r="L156" s="618"/>
      <c r="M156" s="618"/>
      <c r="X156" s="43"/>
      <c r="Y156" s="43"/>
      <c r="Z156" s="43"/>
      <c r="AA156" s="43"/>
      <c r="AB156" s="43"/>
      <c r="AC156" s="43"/>
      <c r="AD156" s="43"/>
    </row>
    <row r="157" spans="1:30" x14ac:dyDescent="0.25">
      <c r="A157" s="201" t="s">
        <v>97</v>
      </c>
      <c r="B157" s="201"/>
      <c r="C157" s="201"/>
      <c r="H157" s="108">
        <f t="shared" ref="H157:R157" si="32">H107*H159</f>
        <v>86.515739999999994</v>
      </c>
      <c r="I157" s="108">
        <f t="shared" si="32"/>
        <v>81.795000000000002</v>
      </c>
      <c r="J157" s="44">
        <f t="shared" si="32"/>
        <v>78.597819999999999</v>
      </c>
      <c r="K157" s="44">
        <f t="shared" si="32"/>
        <v>77.500659999999996</v>
      </c>
      <c r="L157" s="108">
        <f t="shared" si="32"/>
        <v>76.216139999999996</v>
      </c>
      <c r="M157" s="108">
        <f t="shared" si="32"/>
        <v>73.90601999999997</v>
      </c>
      <c r="N157" s="44">
        <f t="shared" si="32"/>
        <v>68.193900000000014</v>
      </c>
      <c r="O157" s="44">
        <f t="shared" si="32"/>
        <v>68.683140000000009</v>
      </c>
      <c r="P157" s="44">
        <f t="shared" si="32"/>
        <v>67.131180000000001</v>
      </c>
      <c r="Q157" s="44">
        <f t="shared" si="32"/>
        <v>66.416759999999982</v>
      </c>
      <c r="R157" s="44">
        <f t="shared" si="32"/>
        <v>64.018349999999998</v>
      </c>
      <c r="T157" s="44">
        <f>T179*T148/1000000</f>
        <v>79.372068688329989</v>
      </c>
      <c r="U157" s="44">
        <f>U179*U148/1000000</f>
        <v>81.312682776400948</v>
      </c>
      <c r="V157" s="44">
        <f>V179*V148/1000000</f>
        <v>81.189539292844231</v>
      </c>
      <c r="W157" s="44">
        <f>W179*W148/1000000</f>
        <v>77.135241050169199</v>
      </c>
      <c r="X157" s="43"/>
      <c r="Y157" s="44">
        <f>SUM(T157:W157)</f>
        <v>319.00953180774439</v>
      </c>
      <c r="Z157" s="44">
        <f>Z179*Z148/1000000</f>
        <v>319.00953180774445</v>
      </c>
      <c r="AA157" s="44">
        <f>AA179*AA148/1000000</f>
        <v>319.88353052502589</v>
      </c>
      <c r="AB157" s="44">
        <f>AB179*AB148/1000000</f>
        <v>319.00953180774445</v>
      </c>
      <c r="AC157" s="44">
        <f>AC179*AC148/1000000</f>
        <v>319.00953180774445</v>
      </c>
      <c r="AD157" s="43"/>
    </row>
    <row r="158" spans="1:30" x14ac:dyDescent="0.25">
      <c r="A158" s="201" t="s">
        <v>98</v>
      </c>
      <c r="B158" s="201"/>
      <c r="C158" s="201"/>
      <c r="H158" s="110">
        <f t="shared" ref="H158:R158" si="33">H159-H157</f>
        <v>18.991260000000011</v>
      </c>
      <c r="I158" s="110">
        <f t="shared" si="33"/>
        <v>17.954999999999998</v>
      </c>
      <c r="J158" s="45">
        <f t="shared" si="33"/>
        <v>17.25318</v>
      </c>
      <c r="K158" s="45">
        <f t="shared" si="33"/>
        <v>17.012340000000009</v>
      </c>
      <c r="L158" s="110">
        <f t="shared" si="33"/>
        <v>17.877859999999998</v>
      </c>
      <c r="M158" s="110">
        <f t="shared" si="33"/>
        <v>17.335979999999992</v>
      </c>
      <c r="N158" s="45">
        <f t="shared" si="33"/>
        <v>15.996099999999998</v>
      </c>
      <c r="O158" s="45">
        <f t="shared" si="33"/>
        <v>16.110859999999988</v>
      </c>
      <c r="P158" s="45">
        <f t="shared" si="33"/>
        <v>15.74682</v>
      </c>
      <c r="Q158" s="45">
        <f t="shared" si="33"/>
        <v>15.579239999999999</v>
      </c>
      <c r="R158" s="45">
        <f t="shared" si="33"/>
        <v>15.016649999999998</v>
      </c>
      <c r="T158" s="45">
        <f>T180*T148/1000000</f>
        <v>15.103905572867514</v>
      </c>
      <c r="U158" s="45">
        <f>U180*U148/1000000</f>
        <v>15.520493390612568</v>
      </c>
      <c r="V158" s="45">
        <f>V180*V148/1000000</f>
        <v>15.49160788212396</v>
      </c>
      <c r="W158" s="45">
        <f>W180*W148/1000000</f>
        <v>14.617835564360673</v>
      </c>
      <c r="X158" s="43"/>
      <c r="Y158" s="45">
        <f>SUM(T158:W158)</f>
        <v>60.733842409964716</v>
      </c>
      <c r="Z158" s="45">
        <f>Z180*Z148/1000000</f>
        <v>60.733842409964716</v>
      </c>
      <c r="AA158" s="45">
        <f>AA180*AA148/1000000</f>
        <v>60.900236498759149</v>
      </c>
      <c r="AB158" s="45">
        <f>AB180*AB148/1000000</f>
        <v>60.733842409964716</v>
      </c>
      <c r="AC158" s="45">
        <f>AC180*AC148/1000000</f>
        <v>60.733842409964716</v>
      </c>
      <c r="AD158" s="43"/>
    </row>
    <row r="159" spans="1:30" x14ac:dyDescent="0.25">
      <c r="A159" s="33" t="s">
        <v>337</v>
      </c>
      <c r="B159" s="33"/>
      <c r="C159" s="33"/>
      <c r="D159" s="33"/>
      <c r="E159" s="33"/>
      <c r="F159" s="33"/>
      <c r="G159" s="33"/>
      <c r="H159" s="118">
        <f>H151</f>
        <v>105.50700000000001</v>
      </c>
      <c r="I159" s="118">
        <f>I151</f>
        <v>99.75</v>
      </c>
      <c r="J159" s="47">
        <f>'Regis Corp. model'!H155</f>
        <v>95.850999999999999</v>
      </c>
      <c r="K159" s="47">
        <f>'Regis Corp. model'!I155</f>
        <v>94.513000000000005</v>
      </c>
      <c r="L159" s="118">
        <f>L151</f>
        <v>94.093999999999994</v>
      </c>
      <c r="M159" s="118">
        <f>M151</f>
        <v>91.241999999999962</v>
      </c>
      <c r="N159" s="47">
        <f>'Regis Corp. model'!L155</f>
        <v>84.190000000000012</v>
      </c>
      <c r="O159" s="47">
        <f>'Regis Corp. model'!M155</f>
        <v>84.793999999999997</v>
      </c>
      <c r="P159" s="47">
        <f>'Regis Corp. model'!N155</f>
        <v>82.878</v>
      </c>
      <c r="Q159" s="47">
        <f>'Regis Corp. model'!O155</f>
        <v>81.995999999999981</v>
      </c>
      <c r="R159" s="47">
        <f>'Regis Corp. model'!P155</f>
        <v>79.034999999999997</v>
      </c>
      <c r="T159" s="47">
        <f>SUM(T157:T158)</f>
        <v>94.475974261197507</v>
      </c>
      <c r="U159" s="47">
        <f>SUM(U157:U158)</f>
        <v>96.833176167013519</v>
      </c>
      <c r="V159" s="47">
        <f>SUM(V157:V158)</f>
        <v>96.681147174968189</v>
      </c>
      <c r="W159" s="47">
        <f>SUM(W157:W158)</f>
        <v>91.753076614529874</v>
      </c>
      <c r="X159" s="43"/>
      <c r="Y159" s="47">
        <f>SUM(Y157:Y158)</f>
        <v>379.74337421770912</v>
      </c>
      <c r="Z159" s="47">
        <f>SUM(Z157:Z158)</f>
        <v>379.74337421770917</v>
      </c>
      <c r="AA159" s="47">
        <f>SUM(AA157:AA158)</f>
        <v>380.78376702378506</v>
      </c>
      <c r="AB159" s="47">
        <f>SUM(AB157:AB158)</f>
        <v>379.74337421770917</v>
      </c>
      <c r="AC159" s="47">
        <f>SUM(AC157:AC158)</f>
        <v>379.74337421770917</v>
      </c>
      <c r="AD159" s="43"/>
    </row>
    <row r="160" spans="1:30" x14ac:dyDescent="0.25">
      <c r="H160" s="82"/>
      <c r="I160" s="82"/>
      <c r="J160" s="44"/>
      <c r="K160" s="44"/>
      <c r="L160" s="149"/>
      <c r="M160" s="108"/>
      <c r="N160" s="44"/>
      <c r="O160" s="44"/>
      <c r="P160" s="44"/>
      <c r="Q160" s="44"/>
      <c r="R160" s="44"/>
      <c r="X160" s="43"/>
      <c r="AD160" s="43"/>
    </row>
    <row r="161" spans="1:30" x14ac:dyDescent="0.25">
      <c r="A161" s="207" t="s">
        <v>101</v>
      </c>
      <c r="B161" s="207"/>
      <c r="C161" s="207"/>
      <c r="H161" s="108">
        <f t="shared" ref="H161:R161" si="34">H114*H157</f>
        <v>50.155804037116226</v>
      </c>
      <c r="I161" s="108">
        <f t="shared" si="34"/>
        <v>46.708877902572617</v>
      </c>
      <c r="J161" s="108">
        <f t="shared" si="34"/>
        <v>47.564131575177427</v>
      </c>
      <c r="K161" s="108">
        <f t="shared" si="34"/>
        <v>46.758554557465366</v>
      </c>
      <c r="L161" s="108">
        <f t="shared" si="34"/>
        <v>45.541470565881838</v>
      </c>
      <c r="M161" s="108">
        <f t="shared" si="34"/>
        <v>43.500333888303459</v>
      </c>
      <c r="N161" s="108">
        <f t="shared" si="34"/>
        <v>41.279353957339666</v>
      </c>
      <c r="O161" s="108">
        <f t="shared" si="34"/>
        <v>42.667920587435148</v>
      </c>
      <c r="P161" s="108">
        <f t="shared" si="34"/>
        <v>41.376629921084877</v>
      </c>
      <c r="Q161" s="108">
        <f t="shared" si="34"/>
        <v>40.620425918613726</v>
      </c>
      <c r="R161" s="108">
        <f t="shared" si="34"/>
        <v>39.260827259953608</v>
      </c>
      <c r="T161" s="44">
        <f>T183*T148/1000000</f>
        <v>49.308187186172781</v>
      </c>
      <c r="U161" s="44">
        <f>U183*U148/1000000</f>
        <v>50.117468263327332</v>
      </c>
      <c r="V161" s="44">
        <f>V183*V148/1000000</f>
        <v>49.655443388255598</v>
      </c>
      <c r="W161" s="44">
        <f>W183*W148/1000000</f>
        <v>47.305083222631879</v>
      </c>
      <c r="X161" s="43"/>
      <c r="Y161" s="44">
        <f>SUM(T161:W161)</f>
        <v>196.3861820603876</v>
      </c>
      <c r="Z161" s="44">
        <f>Z183*Z148/1000000</f>
        <v>196.38618206038757</v>
      </c>
      <c r="AA161" s="44">
        <f>AA183*AA148/1000000</f>
        <v>196.92422639479963</v>
      </c>
      <c r="AB161" s="44">
        <f>AB183*AB148/1000000</f>
        <v>196.38618206038757</v>
      </c>
      <c r="AC161" s="44">
        <f>AC183*AC148/1000000</f>
        <v>196.38618206038757</v>
      </c>
      <c r="AD161" s="43"/>
    </row>
    <row r="162" spans="1:30" x14ac:dyDescent="0.25">
      <c r="A162" s="207" t="s">
        <v>102</v>
      </c>
      <c r="B162" s="207"/>
      <c r="C162" s="207"/>
      <c r="H162" s="110">
        <f t="shared" ref="H162:R162" si="35">H115*H158</f>
        <v>9.5438831373450146</v>
      </c>
      <c r="I162" s="110">
        <f t="shared" si="35"/>
        <v>9.1667256253380831</v>
      </c>
      <c r="J162" s="110">
        <f t="shared" si="35"/>
        <v>8.9622615439364903</v>
      </c>
      <c r="K162" s="110">
        <f t="shared" si="35"/>
        <v>8.6548605802136116</v>
      </c>
      <c r="L162" s="110">
        <f t="shared" si="35"/>
        <v>9.2273049287942488</v>
      </c>
      <c r="M162" s="110">
        <f t="shared" si="35"/>
        <v>9.2741924880105877</v>
      </c>
      <c r="N162" s="110">
        <f t="shared" si="35"/>
        <v>7.9608917953033673</v>
      </c>
      <c r="O162" s="110">
        <f t="shared" si="35"/>
        <v>8.3152134772780677</v>
      </c>
      <c r="P162" s="110">
        <f t="shared" si="35"/>
        <v>7.7050202602084639</v>
      </c>
      <c r="Q162" s="110">
        <f t="shared" si="35"/>
        <v>7.8327587848822775</v>
      </c>
      <c r="R162" s="110">
        <f t="shared" si="35"/>
        <v>7.609155573894232</v>
      </c>
      <c r="T162" s="110">
        <f>T184*T148/1000000</f>
        <v>7.7954993823447882</v>
      </c>
      <c r="U162" s="45">
        <f>U184*U148/1000000</f>
        <v>7.5942771952115669</v>
      </c>
      <c r="V162" s="45">
        <f>V184*V148/1000000</f>
        <v>7.7887000733449137</v>
      </c>
      <c r="W162" s="45">
        <f>W184*W148/1000000</f>
        <v>7.4070704826192513</v>
      </c>
      <c r="X162" s="43"/>
      <c r="Y162" s="45">
        <f>SUM(T162:W162)</f>
        <v>30.585547133520517</v>
      </c>
      <c r="Z162" s="45">
        <f>Z184*Z148/1000000</f>
        <v>30.585547133520517</v>
      </c>
      <c r="AA162" s="45">
        <f>AA184*AA148/1000000</f>
        <v>30.669343153064407</v>
      </c>
      <c r="AB162" s="45">
        <f>AB184*AB148/1000000</f>
        <v>30.585547133520517</v>
      </c>
      <c r="AC162" s="45">
        <f>AC184*AC148/1000000</f>
        <v>30.585547133520517</v>
      </c>
      <c r="AD162" s="43"/>
    </row>
    <row r="163" spans="1:30" x14ac:dyDescent="0.25">
      <c r="A163" s="33" t="s">
        <v>8654</v>
      </c>
      <c r="B163" s="33"/>
      <c r="C163" s="33"/>
      <c r="D163" s="33"/>
      <c r="E163" s="33"/>
      <c r="F163" s="33"/>
      <c r="G163" s="33"/>
      <c r="H163" s="47">
        <f t="shared" ref="H163:R163" si="36">SUM(H161:H162)</f>
        <v>59.699687174461239</v>
      </c>
      <c r="I163" s="47">
        <f t="shared" si="36"/>
        <v>55.875603527910698</v>
      </c>
      <c r="J163" s="47">
        <f t="shared" si="36"/>
        <v>56.526393119113919</v>
      </c>
      <c r="K163" s="47">
        <f t="shared" si="36"/>
        <v>55.413415137678982</v>
      </c>
      <c r="L163" s="47">
        <f t="shared" si="36"/>
        <v>54.768775494676085</v>
      </c>
      <c r="M163" s="47">
        <f t="shared" si="36"/>
        <v>52.774526376314043</v>
      </c>
      <c r="N163" s="47">
        <f t="shared" si="36"/>
        <v>49.240245752643034</v>
      </c>
      <c r="O163" s="47">
        <f t="shared" si="36"/>
        <v>50.983134064713212</v>
      </c>
      <c r="P163" s="47">
        <f t="shared" si="36"/>
        <v>49.081650181293341</v>
      </c>
      <c r="Q163" s="47">
        <f t="shared" si="36"/>
        <v>48.453184703496007</v>
      </c>
      <c r="R163" s="47">
        <f t="shared" si="36"/>
        <v>46.869982833847843</v>
      </c>
      <c r="T163" s="47">
        <f>SUM(T161:T162)</f>
        <v>57.103686568517567</v>
      </c>
      <c r="U163" s="47">
        <f>SUM(U161:U162)</f>
        <v>57.7117454585389</v>
      </c>
      <c r="V163" s="47">
        <f>SUM(V161:V162)</f>
        <v>57.444143461600511</v>
      </c>
      <c r="W163" s="47">
        <f>SUM(W161:W162)</f>
        <v>54.712153705251133</v>
      </c>
      <c r="X163" s="43"/>
      <c r="Y163" s="47">
        <f>SUM(Y161:Y162)</f>
        <v>226.97172919390812</v>
      </c>
      <c r="Z163" s="47">
        <f>SUM(Z161:Z162)</f>
        <v>226.97172919390809</v>
      </c>
      <c r="AA163" s="47">
        <f>SUM(AA161:AA162)</f>
        <v>227.59356954786404</v>
      </c>
      <c r="AB163" s="47">
        <f>SUM(AB161:AB162)</f>
        <v>226.97172919390809</v>
      </c>
      <c r="AC163" s="47">
        <f>SUM(AC161:AC162)</f>
        <v>226.97172919390809</v>
      </c>
      <c r="AD163" s="43"/>
    </row>
    <row r="164" spans="1:30" x14ac:dyDescent="0.25">
      <c r="A164" s="207"/>
      <c r="B164" s="207"/>
      <c r="C164" s="207"/>
      <c r="H164" s="82"/>
      <c r="I164" s="82"/>
      <c r="J164" s="44"/>
      <c r="K164" s="44"/>
      <c r="L164" s="149"/>
      <c r="M164" s="108"/>
      <c r="N164" s="44"/>
      <c r="O164" s="44"/>
      <c r="P164" s="44"/>
      <c r="Q164" s="44"/>
      <c r="R164" s="44"/>
      <c r="X164" s="43"/>
      <c r="AD164" s="43"/>
    </row>
    <row r="165" spans="1:30" x14ac:dyDescent="0.25">
      <c r="A165" s="33" t="s">
        <v>8653</v>
      </c>
      <c r="B165" s="33"/>
      <c r="C165" s="33"/>
      <c r="H165" s="118">
        <f t="shared" ref="H165:R165" si="37">H159-H163</f>
        <v>45.807312825538766</v>
      </c>
      <c r="I165" s="118">
        <f t="shared" si="37"/>
        <v>43.874396472089302</v>
      </c>
      <c r="J165" s="118">
        <f t="shared" si="37"/>
        <v>39.32460688088608</v>
      </c>
      <c r="K165" s="118">
        <f t="shared" si="37"/>
        <v>39.099584862321024</v>
      </c>
      <c r="L165" s="118">
        <f t="shared" si="37"/>
        <v>39.325224505323909</v>
      </c>
      <c r="M165" s="118">
        <f t="shared" si="37"/>
        <v>38.467473623685919</v>
      </c>
      <c r="N165" s="118">
        <f t="shared" si="37"/>
        <v>34.949754247356978</v>
      </c>
      <c r="O165" s="118">
        <f t="shared" si="37"/>
        <v>33.810865935286785</v>
      </c>
      <c r="P165" s="118">
        <f t="shared" si="37"/>
        <v>33.796349818706659</v>
      </c>
      <c r="Q165" s="118">
        <f t="shared" si="37"/>
        <v>33.542815296503974</v>
      </c>
      <c r="R165" s="118">
        <f t="shared" si="37"/>
        <v>32.165017166152154</v>
      </c>
      <c r="T165" s="118">
        <f>T159-T163</f>
        <v>37.37228769267994</v>
      </c>
      <c r="U165" s="118">
        <f>U159-U163</f>
        <v>39.12143070847462</v>
      </c>
      <c r="V165" s="118">
        <f>V159-V163</f>
        <v>39.237003713367677</v>
      </c>
      <c r="W165" s="118">
        <f>W159-W163</f>
        <v>37.040922909278741</v>
      </c>
      <c r="X165" s="43"/>
      <c r="Y165" s="118">
        <f>Y159-Y163</f>
        <v>152.771645023801</v>
      </c>
      <c r="Z165" s="118">
        <f>Z159-Z163</f>
        <v>152.77164502380109</v>
      </c>
      <c r="AA165" s="118">
        <f>AA159-AA163</f>
        <v>153.19019747592102</v>
      </c>
      <c r="AB165" s="118">
        <f>AB159-AB163</f>
        <v>152.77164502380109</v>
      </c>
      <c r="AC165" s="118">
        <f>AC159-AC163</f>
        <v>152.77164502380109</v>
      </c>
      <c r="AD165" s="43"/>
    </row>
    <row r="166" spans="1:30" x14ac:dyDescent="0.25">
      <c r="A166" s="33"/>
      <c r="B166" s="33"/>
      <c r="C166" s="33"/>
      <c r="H166" s="82"/>
      <c r="I166" s="82"/>
      <c r="J166" s="47"/>
      <c r="K166" s="47"/>
      <c r="L166" s="149"/>
      <c r="M166" s="108"/>
      <c r="N166" s="47"/>
      <c r="O166" s="47"/>
      <c r="P166" s="47"/>
      <c r="Q166" s="47"/>
      <c r="R166" s="47"/>
      <c r="X166" s="43"/>
      <c r="AD166" s="43"/>
    </row>
    <row r="167" spans="1:30" x14ac:dyDescent="0.25">
      <c r="A167" s="218" t="s">
        <v>103</v>
      </c>
      <c r="B167" s="101"/>
      <c r="C167" s="101"/>
      <c r="H167" s="619">
        <f>AVERAGE($J$167,$K$167)</f>
        <v>39.035576557304765</v>
      </c>
      <c r="I167" s="619">
        <f>AVERAGE($J$167,$K$167)</f>
        <v>39.035576557304765</v>
      </c>
      <c r="J167" s="607">
        <f>J171-J170</f>
        <v>39.465377819725191</v>
      </c>
      <c r="K167" s="607">
        <f>K171-K170</f>
        <v>38.605775294884339</v>
      </c>
      <c r="L167" s="619">
        <f>AVERAGE($O$167,$K$167,$J$167)</f>
        <v>37.683527319924643</v>
      </c>
      <c r="M167" s="619">
        <f>AVERAGE($O$167,$K$167,$J$167)</f>
        <v>37.683527319924643</v>
      </c>
      <c r="N167" s="607">
        <f>N171-N170</f>
        <v>33.51976947852021</v>
      </c>
      <c r="O167" s="607">
        <f>O171-O170</f>
        <v>34.979428845164414</v>
      </c>
      <c r="P167" s="607">
        <f>P171-P170</f>
        <v>34.418960971375824</v>
      </c>
      <c r="Q167" s="607">
        <f>Q171-Q170</f>
        <v>33.231695110126012</v>
      </c>
      <c r="R167" s="630">
        <f>R171-R170</f>
        <v>34.223103954699923</v>
      </c>
      <c r="T167" s="630">
        <f>T189*T148/1000000</f>
        <v>32.793158792901295</v>
      </c>
      <c r="U167" s="630">
        <f>U189*U148/1000000</f>
        <v>33.924262566536633</v>
      </c>
      <c r="V167" s="630">
        <f>V189*V148/1000000</f>
        <v>33.044769186710553</v>
      </c>
      <c r="W167" s="630">
        <f>W189*W148/1000000</f>
        <v>33.314201643630582</v>
      </c>
      <c r="X167" s="43"/>
      <c r="Y167" s="630">
        <f>SUM(T167:W169)</f>
        <v>133.07639218977909</v>
      </c>
      <c r="Z167" s="630">
        <f>Z189*Z148/1000000</f>
        <v>133.07639218977906</v>
      </c>
      <c r="AA167" s="630">
        <f>AA189*AA148/1000000</f>
        <v>133.44098504509353</v>
      </c>
      <c r="AB167" s="630">
        <f>AB189*AB148/1000000</f>
        <v>133.07639218977906</v>
      </c>
      <c r="AC167" s="630">
        <f>AC189*AC148/1000000</f>
        <v>133.07639218977906</v>
      </c>
      <c r="AD167" s="43"/>
    </row>
    <row r="168" spans="1:30" x14ac:dyDescent="0.25">
      <c r="A168" s="219" t="s">
        <v>104</v>
      </c>
      <c r="B168" s="101"/>
      <c r="C168" s="101"/>
      <c r="H168" s="620"/>
      <c r="I168" s="620"/>
      <c r="J168" s="608"/>
      <c r="K168" s="608"/>
      <c r="L168" s="620"/>
      <c r="M168" s="620"/>
      <c r="N168" s="608"/>
      <c r="O168" s="608"/>
      <c r="P168" s="608"/>
      <c r="Q168" s="608"/>
      <c r="R168" s="631"/>
      <c r="T168" s="631"/>
      <c r="U168" s="631"/>
      <c r="V168" s="631"/>
      <c r="W168" s="631"/>
      <c r="X168" s="43"/>
      <c r="Y168" s="631"/>
      <c r="Z168" s="631"/>
      <c r="AA168" s="631"/>
      <c r="AB168" s="631"/>
      <c r="AC168" s="631"/>
      <c r="AD168" s="43"/>
    </row>
    <row r="169" spans="1:30" x14ac:dyDescent="0.25">
      <c r="A169" s="220" t="s">
        <v>105</v>
      </c>
      <c r="B169" s="101"/>
      <c r="C169" s="101"/>
      <c r="H169" s="621"/>
      <c r="I169" s="621"/>
      <c r="J169" s="609"/>
      <c r="K169" s="609"/>
      <c r="L169" s="621"/>
      <c r="M169" s="621"/>
      <c r="N169" s="609"/>
      <c r="O169" s="609"/>
      <c r="P169" s="609"/>
      <c r="Q169" s="609"/>
      <c r="R169" s="632"/>
      <c r="T169" s="632"/>
      <c r="U169" s="632"/>
      <c r="V169" s="632"/>
      <c r="W169" s="632"/>
      <c r="X169" s="43"/>
      <c r="Y169" s="632"/>
      <c r="Z169" s="632"/>
      <c r="AA169" s="632"/>
      <c r="AB169" s="632"/>
      <c r="AC169" s="632"/>
      <c r="AD169" s="43"/>
    </row>
    <row r="170" spans="1:30" x14ac:dyDescent="0.25">
      <c r="A170" s="31" t="s">
        <v>106</v>
      </c>
      <c r="B170" s="82"/>
      <c r="C170" s="82"/>
      <c r="H170" s="213">
        <f>H148/H149*'Regis Corp. model'!F82</f>
        <v>2.8338417210910487</v>
      </c>
      <c r="I170" s="213">
        <f>I148/I149*'Regis Corp. model'!G82</f>
        <v>2.7753839498999291</v>
      </c>
      <c r="J170" s="213">
        <f>J148/J149*'Regis Corp. model'!H82</f>
        <v>2.5412290611608883</v>
      </c>
      <c r="K170" s="213">
        <f>K148/K149*'Regis Corp. model'!I82</f>
        <v>2.6488095674366856</v>
      </c>
      <c r="L170" s="213">
        <f>L148/L149*'Regis Corp. model'!J82</f>
        <v>2.6064802431610943</v>
      </c>
      <c r="M170" s="213">
        <f>M148/M149*'Regis Corp. model'!K82</f>
        <v>2.9480684126135759</v>
      </c>
      <c r="N170" s="213">
        <f>N148/N149*'Regis Corp. model'!L82</f>
        <v>2.6729847688367703</v>
      </c>
      <c r="O170" s="213">
        <f>O148/O149*'Regis Corp. model'!M82</f>
        <v>2.8404370901223714</v>
      </c>
      <c r="P170" s="213">
        <f>P148/P149*'Regis Corp. model'!N82</f>
        <v>3.2303888473308398</v>
      </c>
      <c r="Q170" s="213">
        <f>Q148/Q149*'Regis Corp. model'!O82</f>
        <v>2.5801201863779637</v>
      </c>
      <c r="R170" s="213">
        <f>R148/R149*'Regis Corp. model'!P82</f>
        <v>2.4859132114522247</v>
      </c>
      <c r="T170" s="248">
        <f>T192*T148/1000000</f>
        <v>2.6629052449638881</v>
      </c>
      <c r="U170" s="248">
        <f>U192*U148/1000000</f>
        <v>3.1839589678491818</v>
      </c>
      <c r="V170" s="248">
        <f>V192*V148/1000000</f>
        <v>2.5656071936833897</v>
      </c>
      <c r="W170" s="248">
        <f>W192*W148/1000000</f>
        <v>2.4198919567467043</v>
      </c>
      <c r="X170" s="43"/>
      <c r="Y170" s="45">
        <f>SUM(T170:W170)</f>
        <v>10.832363363243164</v>
      </c>
      <c r="Z170" s="248">
        <f>Z192*Z148/1000000</f>
        <v>10.826417184230072</v>
      </c>
      <c r="AA170" s="248">
        <f>AA192*AA148/1000000</f>
        <v>10.856078601173168</v>
      </c>
      <c r="AB170" s="248">
        <f>AB192*AB148/1000000</f>
        <v>10.826417184230072</v>
      </c>
      <c r="AC170" s="248">
        <f>AC192*AC148/1000000</f>
        <v>10.826417184230072</v>
      </c>
      <c r="AD170" s="43"/>
    </row>
    <row r="171" spans="1:30" x14ac:dyDescent="0.25">
      <c r="A171" s="33" t="s">
        <v>107</v>
      </c>
      <c r="B171" s="33"/>
      <c r="C171" s="33"/>
      <c r="H171" s="118">
        <f>SUM(H167:H170)</f>
        <v>41.869418278395813</v>
      </c>
      <c r="I171" s="118">
        <f>SUM(I167:I170)</f>
        <v>41.810960507204697</v>
      </c>
      <c r="J171" s="47">
        <f>J165-J173</f>
        <v>42.006606880886082</v>
      </c>
      <c r="K171" s="47">
        <f>K165-K173</f>
        <v>41.254584862321025</v>
      </c>
      <c r="L171" s="118">
        <f>SUM(L167:L170)</f>
        <v>40.290007563085737</v>
      </c>
      <c r="M171" s="118">
        <f>SUM(M167:M170)</f>
        <v>40.631595732538216</v>
      </c>
      <c r="N171" s="47">
        <f>N165-N173</f>
        <v>36.19275424735698</v>
      </c>
      <c r="O171" s="47">
        <f>O165-O173</f>
        <v>37.819865935286785</v>
      </c>
      <c r="P171" s="47">
        <f>P165-P173</f>
        <v>37.649349818706661</v>
      </c>
      <c r="Q171" s="47">
        <f t="shared" ref="Q171:R171" si="38">Q165-Q173</f>
        <v>35.811815296503973</v>
      </c>
      <c r="R171" s="47">
        <f t="shared" si="38"/>
        <v>36.709017166152151</v>
      </c>
      <c r="T171" s="47">
        <f>SUM(T167:T170)</f>
        <v>35.456064037865183</v>
      </c>
      <c r="U171" s="47">
        <f>SUM(U167:U170)</f>
        <v>37.108221534385812</v>
      </c>
      <c r="V171" s="47">
        <f>SUM(V167:V170)</f>
        <v>35.610376380393944</v>
      </c>
      <c r="W171" s="47">
        <f>SUM(W167:W170)</f>
        <v>35.734093600377285</v>
      </c>
      <c r="X171" s="43"/>
      <c r="Y171" s="47">
        <f>SUM(Y167:Y170)</f>
        <v>143.90875555302225</v>
      </c>
      <c r="Z171" s="47">
        <f>SUM(Z167:Z170)</f>
        <v>143.90280937400914</v>
      </c>
      <c r="AA171" s="47">
        <f>SUM(AA167:AA170)</f>
        <v>144.29706364626671</v>
      </c>
      <c r="AB171" s="47">
        <f>SUM(AB167:AB170)</f>
        <v>143.90280937400914</v>
      </c>
      <c r="AC171" s="47">
        <f>SUM(AC167:AC170)</f>
        <v>143.90280937400914</v>
      </c>
      <c r="AD171" s="43"/>
    </row>
    <row r="172" spans="1:30" x14ac:dyDescent="0.25">
      <c r="H172" s="82"/>
      <c r="I172" s="82"/>
      <c r="L172" s="82"/>
      <c r="M172" s="82"/>
      <c r="X172" s="43"/>
      <c r="AD172" s="43"/>
    </row>
    <row r="173" spans="1:30" x14ac:dyDescent="0.25">
      <c r="A173" s="33" t="s">
        <v>8655</v>
      </c>
      <c r="B173" s="33"/>
      <c r="C173" s="33"/>
      <c r="H173" s="118">
        <f>H165-H171</f>
        <v>3.9378945471429532</v>
      </c>
      <c r="I173" s="118">
        <f>I165-I171</f>
        <v>2.0634359648846043</v>
      </c>
      <c r="J173" s="47">
        <f>'Regis Corp. model'!H167-J147</f>
        <v>-2.6819999999999999</v>
      </c>
      <c r="K173" s="47">
        <f>'Regis Corp. model'!I167-K147</f>
        <v>-2.1549999999999998</v>
      </c>
      <c r="L173" s="118">
        <f>L165-L171</f>
        <v>-0.96478305776182793</v>
      </c>
      <c r="M173" s="118">
        <f>M165-M171</f>
        <v>-2.1641221088522968</v>
      </c>
      <c r="N173" s="47">
        <f>'Regis Corp. model'!L167-N147</f>
        <v>-1.2430000000000021</v>
      </c>
      <c r="O173" s="47">
        <f>'Regis Corp. model'!M167-O147</f>
        <v>-4.0090000000000003</v>
      </c>
      <c r="P173" s="47">
        <f>'Regis Corp. model'!N167-P147</f>
        <v>-3.8530000000000002</v>
      </c>
      <c r="Q173" s="47">
        <f>'Regis Corp. model'!O167-Q147</f>
        <v>-2.2689999999999984</v>
      </c>
      <c r="R173" s="47">
        <f>'Regis Corp. model'!P167-R147</f>
        <v>-4.5439999999999996</v>
      </c>
      <c r="T173" s="47">
        <f>T165-T171</f>
        <v>1.9162236548147575</v>
      </c>
      <c r="U173" s="47">
        <f>U165-U171</f>
        <v>2.0132091740888072</v>
      </c>
      <c r="V173" s="47">
        <f>V165-V171</f>
        <v>3.6266273329737331</v>
      </c>
      <c r="W173" s="47">
        <f>W165-W171</f>
        <v>1.306829308901456</v>
      </c>
      <c r="X173" s="43"/>
      <c r="Y173" s="47">
        <f>Y165-Y171</f>
        <v>8.8628894707787538</v>
      </c>
      <c r="Z173" s="47">
        <f>Z165-Z171</f>
        <v>8.8688356497919472</v>
      </c>
      <c r="AA173" s="47">
        <f>AA165-AA171</f>
        <v>8.8931338296543174</v>
      </c>
      <c r="AB173" s="47">
        <f>AB165-AB171</f>
        <v>8.8688356497919472</v>
      </c>
      <c r="AC173" s="47">
        <f>AC165-AC171</f>
        <v>8.8688356497919472</v>
      </c>
      <c r="AD173" s="43"/>
    </row>
    <row r="174" spans="1:30" x14ac:dyDescent="0.25">
      <c r="A174" s="221" t="s">
        <v>8659</v>
      </c>
      <c r="B174" s="221"/>
      <c r="C174" s="221"/>
      <c r="H174" s="110">
        <f t="shared" ref="H174:R174" si="39">H170</f>
        <v>2.8338417210910487</v>
      </c>
      <c r="I174" s="110">
        <f t="shared" si="39"/>
        <v>2.7753839498999291</v>
      </c>
      <c r="J174" s="45">
        <f t="shared" si="39"/>
        <v>2.5412290611608883</v>
      </c>
      <c r="K174" s="45">
        <f t="shared" si="39"/>
        <v>2.6488095674366856</v>
      </c>
      <c r="L174" s="110">
        <f t="shared" si="39"/>
        <v>2.6064802431610943</v>
      </c>
      <c r="M174" s="110">
        <f t="shared" si="39"/>
        <v>2.9480684126135759</v>
      </c>
      <c r="N174" s="45">
        <f t="shared" si="39"/>
        <v>2.6729847688367703</v>
      </c>
      <c r="O174" s="45">
        <f t="shared" si="39"/>
        <v>2.8404370901223714</v>
      </c>
      <c r="P174" s="45">
        <f t="shared" si="39"/>
        <v>3.2303888473308398</v>
      </c>
      <c r="Q174" s="45">
        <f t="shared" si="39"/>
        <v>2.5801201863779637</v>
      </c>
      <c r="R174" s="45">
        <f t="shared" si="39"/>
        <v>2.4859132114522247</v>
      </c>
      <c r="T174" s="45">
        <f>T170</f>
        <v>2.6629052449638881</v>
      </c>
      <c r="U174" s="45">
        <f>U170</f>
        <v>3.1839589678491818</v>
      </c>
      <c r="V174" s="45">
        <f>V170</f>
        <v>2.5656071936833897</v>
      </c>
      <c r="W174" s="45">
        <f>W170</f>
        <v>2.4198919567467043</v>
      </c>
      <c r="X174" s="43"/>
      <c r="Y174" s="45">
        <f>SUM(T174:W174)</f>
        <v>10.832363363243164</v>
      </c>
      <c r="Z174" s="45">
        <f>Z170</f>
        <v>10.826417184230072</v>
      </c>
      <c r="AA174" s="45">
        <f>AA170</f>
        <v>10.856078601173168</v>
      </c>
      <c r="AB174" s="45">
        <f>AB170</f>
        <v>10.826417184230072</v>
      </c>
      <c r="AC174" s="45">
        <f>AC170</f>
        <v>10.826417184230072</v>
      </c>
      <c r="AD174" s="43"/>
    </row>
    <row r="175" spans="1:30" x14ac:dyDescent="0.25">
      <c r="A175" s="33" t="s">
        <v>8660</v>
      </c>
      <c r="B175" s="33"/>
      <c r="C175" s="33"/>
      <c r="H175" s="118">
        <f t="shared" ref="H175:R175" si="40">SUM(H173:H174)</f>
        <v>6.7717362682340019</v>
      </c>
      <c r="I175" s="118">
        <f t="shared" si="40"/>
        <v>4.8388199147845334</v>
      </c>
      <c r="J175" s="118">
        <f t="shared" si="40"/>
        <v>-0.14077093883911163</v>
      </c>
      <c r="K175" s="118">
        <f t="shared" si="40"/>
        <v>0.4938095674366858</v>
      </c>
      <c r="L175" s="118">
        <f t="shared" si="40"/>
        <v>1.6416971853992663</v>
      </c>
      <c r="M175" s="118">
        <f t="shared" si="40"/>
        <v>0.78394630376127905</v>
      </c>
      <c r="N175" s="118">
        <f t="shared" si="40"/>
        <v>1.4299847688367682</v>
      </c>
      <c r="O175" s="118">
        <f t="shared" si="40"/>
        <v>-1.1685629098776289</v>
      </c>
      <c r="P175" s="118">
        <f t="shared" si="40"/>
        <v>-0.62261115266916045</v>
      </c>
      <c r="Q175" s="118">
        <f t="shared" si="40"/>
        <v>0.31112018637796535</v>
      </c>
      <c r="R175" s="118">
        <f t="shared" si="40"/>
        <v>-2.0580867885477749</v>
      </c>
      <c r="T175" s="118">
        <f>SUM(T173:T174)</f>
        <v>4.5791288997786452</v>
      </c>
      <c r="U175" s="118">
        <f>SUM(U173:U174)</f>
        <v>5.1971681419379889</v>
      </c>
      <c r="V175" s="118">
        <f>SUM(V173:V174)</f>
        <v>6.1922345266571224</v>
      </c>
      <c r="W175" s="118">
        <f>SUM(W173:W174)</f>
        <v>3.7267212656481603</v>
      </c>
      <c r="X175" s="43"/>
      <c r="Y175" s="118">
        <f>SUM(Y173:Y174)</f>
        <v>19.695252834021918</v>
      </c>
      <c r="Z175" s="118">
        <f>SUM(Z173:Z174)</f>
        <v>19.695252834022021</v>
      </c>
      <c r="AA175" s="118">
        <f>SUM(AA173:AA174)</f>
        <v>19.749212430827484</v>
      </c>
      <c r="AB175" s="118">
        <f>SUM(AB173:AB174)</f>
        <v>19.695252834022021</v>
      </c>
      <c r="AC175" s="118">
        <f>SUM(AC173:AC174)</f>
        <v>19.695252834022021</v>
      </c>
      <c r="AD175" s="43"/>
    </row>
    <row r="176" spans="1:30" collapsed="1" x14ac:dyDescent="0.25">
      <c r="L176" s="31"/>
      <c r="X176" s="43"/>
      <c r="Y176" s="43"/>
      <c r="Z176" s="43"/>
      <c r="AA176" s="43"/>
      <c r="AB176" s="43"/>
      <c r="AC176" s="43"/>
      <c r="AD176" s="43"/>
    </row>
    <row r="177" spans="1:30" x14ac:dyDescent="0.25">
      <c r="A177" s="203" t="s">
        <v>8687</v>
      </c>
      <c r="B177" s="204"/>
      <c r="C177" s="204"/>
      <c r="D177" s="204"/>
      <c r="E177" s="204"/>
      <c r="F177" s="204"/>
      <c r="G177" s="204"/>
      <c r="H177" s="204"/>
      <c r="I177" s="204"/>
      <c r="J177" s="205"/>
      <c r="K177" s="204"/>
      <c r="L177" s="206"/>
      <c r="M177" s="204"/>
      <c r="N177" s="204"/>
      <c r="O177" s="204"/>
      <c r="P177" s="204"/>
      <c r="Q177" s="204"/>
      <c r="R177" s="204"/>
      <c r="S177" s="41"/>
      <c r="T177" s="41"/>
      <c r="U177" s="41"/>
      <c r="V177" s="41"/>
      <c r="W177" s="41"/>
      <c r="X177" s="41"/>
      <c r="Y177" s="41"/>
      <c r="Z177" s="41"/>
      <c r="AA177" s="41"/>
      <c r="AB177" s="41"/>
      <c r="AC177" s="42"/>
      <c r="AD177" s="43"/>
    </row>
    <row r="178" spans="1:30" x14ac:dyDescent="0.25">
      <c r="L178" s="31"/>
      <c r="X178" s="43"/>
      <c r="Y178" s="43"/>
      <c r="Z178" s="43"/>
      <c r="AA178" s="43"/>
      <c r="AB178" s="43"/>
      <c r="AC178" s="43"/>
      <c r="AD178" s="43"/>
    </row>
    <row r="179" spans="1:30" x14ac:dyDescent="0.25">
      <c r="A179" s="201" t="s">
        <v>97</v>
      </c>
      <c r="B179" s="201"/>
      <c r="C179" s="201"/>
      <c r="H179" s="239">
        <f t="shared" ref="H179:R179" si="41">H157*1000000/H148</f>
        <v>87389.636363636368</v>
      </c>
      <c r="I179" s="239">
        <f t="shared" si="41"/>
        <v>84717.762817193157</v>
      </c>
      <c r="J179" s="239">
        <f t="shared" si="41"/>
        <v>83172.296296296292</v>
      </c>
      <c r="K179" s="239">
        <f t="shared" si="41"/>
        <v>83829.810708491073</v>
      </c>
      <c r="L179" s="239">
        <f t="shared" si="41"/>
        <v>84967.826086956527</v>
      </c>
      <c r="M179" s="239">
        <f t="shared" si="41"/>
        <v>84754.610091743089</v>
      </c>
      <c r="N179" s="239">
        <f t="shared" si="41"/>
        <v>79387.54365541329</v>
      </c>
      <c r="O179" s="239">
        <f t="shared" si="41"/>
        <v>80566.733137829928</v>
      </c>
      <c r="P179" s="239">
        <f t="shared" si="41"/>
        <v>80108.80668257756</v>
      </c>
      <c r="Q179" s="239">
        <f t="shared" si="41"/>
        <v>80848.155812538025</v>
      </c>
      <c r="R179" s="239">
        <f t="shared" si="41"/>
        <v>78840.332512315275</v>
      </c>
      <c r="T179" s="214">
        <f>T201*T122</f>
        <v>98232.758277636138</v>
      </c>
      <c r="U179" s="214">
        <f>U201*U122</f>
        <v>100634.50838663484</v>
      </c>
      <c r="V179" s="214">
        <f>V201*V122</f>
        <v>100482.10308520327</v>
      </c>
      <c r="W179" s="214">
        <f>W201*W122</f>
        <v>95464.407240308414</v>
      </c>
      <c r="X179" s="43"/>
      <c r="Y179" s="214">
        <f>SUM(T179:W179)</f>
        <v>394813.77698978264</v>
      </c>
      <c r="Z179" s="214">
        <f>Z201*Z122</f>
        <v>394813.77698978269</v>
      </c>
      <c r="AA179" s="214">
        <f>AA201*AA122</f>
        <v>395895.45857057662</v>
      </c>
      <c r="AB179" s="214">
        <f>AB201*AB122</f>
        <v>394813.77698978269</v>
      </c>
      <c r="AC179" s="214">
        <f>AC201*AC122</f>
        <v>394813.77698978269</v>
      </c>
      <c r="AD179" s="43"/>
    </row>
    <row r="180" spans="1:30" x14ac:dyDescent="0.25">
      <c r="A180" s="201" t="s">
        <v>98</v>
      </c>
      <c r="B180" s="201"/>
      <c r="C180" s="201"/>
      <c r="H180" s="237">
        <f t="shared" ref="H180:R180" si="42">H158*1000000/H148</f>
        <v>19183.090909090919</v>
      </c>
      <c r="I180" s="237">
        <f t="shared" si="42"/>
        <v>18596.582081822889</v>
      </c>
      <c r="J180" s="237">
        <f t="shared" si="42"/>
        <v>18257.333333333332</v>
      </c>
      <c r="K180" s="237">
        <f t="shared" si="42"/>
        <v>18401.665765278536</v>
      </c>
      <c r="L180" s="237">
        <f t="shared" si="42"/>
        <v>19930.72463768116</v>
      </c>
      <c r="M180" s="237">
        <f t="shared" si="42"/>
        <v>19880.711009174302</v>
      </c>
      <c r="N180" s="237">
        <f t="shared" si="42"/>
        <v>18621.769499417926</v>
      </c>
      <c r="O180" s="237">
        <f t="shared" si="42"/>
        <v>18898.369501466263</v>
      </c>
      <c r="P180" s="237">
        <f t="shared" si="42"/>
        <v>18790.954653937948</v>
      </c>
      <c r="Q180" s="237">
        <f t="shared" si="42"/>
        <v>18964.382227632377</v>
      </c>
      <c r="R180" s="237">
        <f t="shared" si="42"/>
        <v>18493.411330049257</v>
      </c>
      <c r="T180" s="155">
        <f>T202*T122</f>
        <v>18692.952441667716</v>
      </c>
      <c r="U180" s="155">
        <f>U202*U122</f>
        <v>19208.531424025456</v>
      </c>
      <c r="V180" s="155">
        <f>V202*V122</f>
        <v>19172.782032331634</v>
      </c>
      <c r="W180" s="155">
        <f>W202*W122</f>
        <v>18091.380648961229</v>
      </c>
      <c r="X180" s="43"/>
      <c r="Y180" s="155">
        <f>SUM(T180:W180)</f>
        <v>75165.646546986027</v>
      </c>
      <c r="Z180" s="155">
        <f>Z202*Z122</f>
        <v>75165.646546986041</v>
      </c>
      <c r="AA180" s="155">
        <f>AA202*AA122</f>
        <v>75371.579825196968</v>
      </c>
      <c r="AB180" s="155">
        <f>AB202*AB122</f>
        <v>75165.646546986041</v>
      </c>
      <c r="AC180" s="155">
        <f>AC202*AC122</f>
        <v>75165.646546986041</v>
      </c>
      <c r="AD180" s="43"/>
    </row>
    <row r="181" spans="1:30" x14ac:dyDescent="0.25">
      <c r="A181" s="33" t="s">
        <v>337</v>
      </c>
      <c r="B181" s="33"/>
      <c r="C181" s="33"/>
      <c r="H181" s="238">
        <f t="shared" ref="H181:R181" si="43">SUM(H179:H180)</f>
        <v>106572.72727272729</v>
      </c>
      <c r="I181" s="238">
        <f t="shared" si="43"/>
        <v>103314.34489901605</v>
      </c>
      <c r="J181" s="215">
        <f t="shared" si="43"/>
        <v>101429.62962962962</v>
      </c>
      <c r="K181" s="215">
        <f t="shared" si="43"/>
        <v>102231.47647376961</v>
      </c>
      <c r="L181" s="238">
        <f t="shared" si="43"/>
        <v>104898.55072463769</v>
      </c>
      <c r="M181" s="238">
        <f t="shared" si="43"/>
        <v>104635.32110091738</v>
      </c>
      <c r="N181" s="215">
        <f t="shared" si="43"/>
        <v>98009.313154831209</v>
      </c>
      <c r="O181" s="215">
        <f t="shared" si="43"/>
        <v>99465.102639296194</v>
      </c>
      <c r="P181" s="215">
        <f t="shared" si="43"/>
        <v>98899.761336515512</v>
      </c>
      <c r="Q181" s="215">
        <f t="shared" si="43"/>
        <v>99812.538040170402</v>
      </c>
      <c r="R181" s="215">
        <f t="shared" si="43"/>
        <v>97333.743842364536</v>
      </c>
      <c r="T181" s="215">
        <f>SUM(T179:T180)</f>
        <v>116925.71071930385</v>
      </c>
      <c r="U181" s="215">
        <f>SUM(U179:U180)</f>
        <v>119843.0398106603</v>
      </c>
      <c r="V181" s="215">
        <f>SUM(V179:V180)</f>
        <v>119654.8851175349</v>
      </c>
      <c r="W181" s="215">
        <f>SUM(W179:W180)</f>
        <v>113555.78788926965</v>
      </c>
      <c r="X181" s="43"/>
      <c r="Y181" s="215">
        <f>SUM(Y179:Y180)</f>
        <v>469979.42353676865</v>
      </c>
      <c r="Z181" s="215">
        <f>SUM(Z179:Z180)</f>
        <v>469979.42353676877</v>
      </c>
      <c r="AA181" s="215">
        <f>SUM(AA179:AA180)</f>
        <v>471267.03839577362</v>
      </c>
      <c r="AB181" s="215">
        <f>SUM(AB179:AB180)</f>
        <v>469979.42353676877</v>
      </c>
      <c r="AC181" s="215">
        <f>SUM(AC179:AC180)</f>
        <v>469979.42353676877</v>
      </c>
      <c r="AD181" s="43"/>
    </row>
    <row r="182" spans="1:30" x14ac:dyDescent="0.25">
      <c r="H182" s="108"/>
      <c r="I182" s="108"/>
      <c r="J182" s="44"/>
      <c r="K182" s="44"/>
      <c r="L182" s="108"/>
      <c r="M182" s="108"/>
      <c r="N182" s="44"/>
      <c r="O182" s="44"/>
      <c r="P182" s="44"/>
      <c r="Q182" s="44"/>
      <c r="R182" s="44"/>
      <c r="X182" s="43"/>
      <c r="Z182" s="43"/>
      <c r="AA182" s="43"/>
      <c r="AB182" s="43"/>
      <c r="AC182" s="43"/>
      <c r="AD182" s="43"/>
    </row>
    <row r="183" spans="1:30" x14ac:dyDescent="0.25">
      <c r="A183" s="207" t="s">
        <v>101</v>
      </c>
      <c r="B183" s="207"/>
      <c r="C183" s="207"/>
      <c r="H183" s="239">
        <f t="shared" ref="H183:R183" si="44">H161*1000000/H148</f>
        <v>50662.428320319421</v>
      </c>
      <c r="I183" s="239">
        <f t="shared" si="44"/>
        <v>48377.916004736013</v>
      </c>
      <c r="J183" s="214">
        <f t="shared" si="44"/>
        <v>50332.414365267112</v>
      </c>
      <c r="K183" s="214">
        <f t="shared" si="44"/>
        <v>50577.127698718621</v>
      </c>
      <c r="L183" s="239">
        <f t="shared" si="44"/>
        <v>50770.870196077864</v>
      </c>
      <c r="M183" s="239">
        <f t="shared" si="44"/>
        <v>49885.704000348</v>
      </c>
      <c r="N183" s="214">
        <f t="shared" si="44"/>
        <v>48055.12684207179</v>
      </c>
      <c r="O183" s="214">
        <f t="shared" si="44"/>
        <v>50050.346730129204</v>
      </c>
      <c r="P183" s="214">
        <f t="shared" si="44"/>
        <v>49375.453366449736</v>
      </c>
      <c r="Q183" s="214">
        <f t="shared" si="44"/>
        <v>49446.653583218169</v>
      </c>
      <c r="R183" s="214">
        <f t="shared" si="44"/>
        <v>48350.772487627597</v>
      </c>
      <c r="T183" s="214">
        <f>T205*T122</f>
        <v>61024.98414130295</v>
      </c>
      <c r="U183" s="214">
        <f>U205*U122</f>
        <v>62026.569632830855</v>
      </c>
      <c r="V183" s="214">
        <f>V205*V122</f>
        <v>61454.756668633163</v>
      </c>
      <c r="W183" s="214">
        <f>W205*W122</f>
        <v>58545.895077514702</v>
      </c>
      <c r="X183" s="43"/>
      <c r="Y183" s="214">
        <f>SUM(T183:W183)</f>
        <v>243052.20552028166</v>
      </c>
      <c r="Z183" s="214">
        <f>Z205*Z122</f>
        <v>243052.20552028166</v>
      </c>
      <c r="AA183" s="214">
        <f>AA205*AA122</f>
        <v>243718.10197376189</v>
      </c>
      <c r="AB183" s="214">
        <f>AB205*AB122</f>
        <v>243052.20552028166</v>
      </c>
      <c r="AC183" s="214">
        <f>AC205*AC122</f>
        <v>243052.20552028166</v>
      </c>
      <c r="AD183" s="43"/>
    </row>
    <row r="184" spans="1:30" x14ac:dyDescent="0.25">
      <c r="A184" s="207" t="s">
        <v>102</v>
      </c>
      <c r="B184" s="207"/>
      <c r="C184" s="207"/>
      <c r="H184" s="237">
        <f t="shared" ref="H184:R184" si="45">H162*1000000/H148</f>
        <v>9640.2859973181967</v>
      </c>
      <c r="I184" s="237">
        <f t="shared" si="45"/>
        <v>9494.2782240684446</v>
      </c>
      <c r="J184" s="155">
        <f t="shared" si="45"/>
        <v>9483.8746496682452</v>
      </c>
      <c r="K184" s="155">
        <f t="shared" si="45"/>
        <v>9361.6663928757298</v>
      </c>
      <c r="L184" s="237">
        <f t="shared" si="45"/>
        <v>10286.850533772851</v>
      </c>
      <c r="M184" s="237">
        <f t="shared" si="45"/>
        <v>10635.541844048839</v>
      </c>
      <c r="N184" s="155">
        <f t="shared" si="45"/>
        <v>9267.6272355103229</v>
      </c>
      <c r="O184" s="155">
        <f t="shared" si="45"/>
        <v>9753.9161023789657</v>
      </c>
      <c r="P184" s="155">
        <f t="shared" si="45"/>
        <v>9194.5349167165441</v>
      </c>
      <c r="Q184" s="155">
        <f t="shared" si="45"/>
        <v>9534.7033291324133</v>
      </c>
      <c r="R184" s="155">
        <f t="shared" si="45"/>
        <v>9370.8812486382158</v>
      </c>
      <c r="T184" s="237">
        <f>T206*T122</f>
        <v>9647.895275179193</v>
      </c>
      <c r="U184" s="237">
        <f>U206*U122</f>
        <v>9398.8579148658009</v>
      </c>
      <c r="V184" s="155">
        <f>V206*V122</f>
        <v>9639.4802887932092</v>
      </c>
      <c r="W184" s="155">
        <f>W206*W122</f>
        <v>9167.1664388852114</v>
      </c>
      <c r="X184" s="43"/>
      <c r="Y184" s="155">
        <f>SUM(T184:W184)</f>
        <v>37853.399917723415</v>
      </c>
      <c r="Z184" s="155">
        <f>Z206*Z122</f>
        <v>37853.399917723415</v>
      </c>
      <c r="AA184" s="155">
        <f>AA206*AA122</f>
        <v>37957.107862703473</v>
      </c>
      <c r="AB184" s="155">
        <f>AB206*AB122</f>
        <v>37853.399917723415</v>
      </c>
      <c r="AC184" s="155">
        <f>AC206*AC122</f>
        <v>37853.399917723415</v>
      </c>
      <c r="AD184" s="43"/>
    </row>
    <row r="185" spans="1:30" s="33" customFormat="1" x14ac:dyDescent="0.25">
      <c r="A185" s="33" t="s">
        <v>8654</v>
      </c>
      <c r="H185" s="238">
        <f t="shared" ref="H185:R185" si="46">SUM(H183:H184)</f>
        <v>60302.714317637619</v>
      </c>
      <c r="I185" s="238">
        <f t="shared" si="46"/>
        <v>57872.194228804459</v>
      </c>
      <c r="J185" s="215">
        <f t="shared" si="46"/>
        <v>59816.289014935355</v>
      </c>
      <c r="K185" s="215">
        <f t="shared" si="46"/>
        <v>59938.794091594347</v>
      </c>
      <c r="L185" s="238">
        <f t="shared" si="46"/>
        <v>61057.720729850713</v>
      </c>
      <c r="M185" s="238">
        <f t="shared" si="46"/>
        <v>60521.245844396835</v>
      </c>
      <c r="N185" s="215">
        <f t="shared" si="46"/>
        <v>57322.754077582111</v>
      </c>
      <c r="O185" s="215">
        <f t="shared" si="46"/>
        <v>59804.262832508168</v>
      </c>
      <c r="P185" s="215">
        <f t="shared" si="46"/>
        <v>58569.988283166284</v>
      </c>
      <c r="Q185" s="215">
        <f t="shared" si="46"/>
        <v>58981.35691235058</v>
      </c>
      <c r="R185" s="215">
        <f t="shared" si="46"/>
        <v>57721.653736265813</v>
      </c>
      <c r="T185" s="215">
        <f>SUM(T183:T184)</f>
        <v>70672.879416482145</v>
      </c>
      <c r="U185" s="215">
        <f>SUM(U183:U184)</f>
        <v>71425.427547696658</v>
      </c>
      <c r="V185" s="215">
        <f>SUM(V183:V184)</f>
        <v>71094.236957426372</v>
      </c>
      <c r="W185" s="215">
        <f>SUM(W183:W184)</f>
        <v>67713.061516399917</v>
      </c>
      <c r="X185" s="46"/>
      <c r="Y185" s="215">
        <f>SUM(Y183:Y184)</f>
        <v>280905.60543800506</v>
      </c>
      <c r="Z185" s="215">
        <f>SUM(Z183:Z184)</f>
        <v>280905.60543800506</v>
      </c>
      <c r="AA185" s="215">
        <f>SUM(AA183:AA184)</f>
        <v>281675.20983646536</v>
      </c>
      <c r="AB185" s="215">
        <f>SUM(AB183:AB184)</f>
        <v>280905.60543800506</v>
      </c>
      <c r="AC185" s="215">
        <f>SUM(AC183:AC184)</f>
        <v>280905.60543800506</v>
      </c>
      <c r="AD185" s="46"/>
    </row>
    <row r="186" spans="1:30" x14ac:dyDescent="0.25">
      <c r="A186" s="207"/>
      <c r="B186" s="207"/>
      <c r="C186" s="207"/>
      <c r="H186" s="108"/>
      <c r="I186" s="108"/>
      <c r="J186" s="44"/>
      <c r="K186" s="44"/>
      <c r="L186" s="108"/>
      <c r="M186" s="108"/>
      <c r="N186" s="44"/>
      <c r="O186" s="44"/>
      <c r="P186" s="44"/>
      <c r="Q186" s="44"/>
      <c r="R186" s="44"/>
      <c r="X186" s="43"/>
      <c r="Z186" s="43"/>
      <c r="AA186" s="43"/>
      <c r="AB186" s="43"/>
      <c r="AC186" s="43"/>
      <c r="AD186" s="43"/>
    </row>
    <row r="187" spans="1:30" x14ac:dyDescent="0.25">
      <c r="A187" s="33" t="s">
        <v>8653</v>
      </c>
      <c r="B187" s="33"/>
      <c r="C187" s="33"/>
      <c r="H187" s="238">
        <f t="shared" ref="H187:R187" si="47">H181-H185</f>
        <v>46270.012955089675</v>
      </c>
      <c r="I187" s="238">
        <f t="shared" si="47"/>
        <v>45442.150670211595</v>
      </c>
      <c r="J187" s="215">
        <f t="shared" si="47"/>
        <v>41613.340614694265</v>
      </c>
      <c r="K187" s="215">
        <f t="shared" si="47"/>
        <v>42292.682382175262</v>
      </c>
      <c r="L187" s="238">
        <f t="shared" si="47"/>
        <v>43840.829994786982</v>
      </c>
      <c r="M187" s="238">
        <f t="shared" si="47"/>
        <v>44114.075256520548</v>
      </c>
      <c r="N187" s="215">
        <f t="shared" si="47"/>
        <v>40686.559077249098</v>
      </c>
      <c r="O187" s="215">
        <f t="shared" si="47"/>
        <v>39660.839806788026</v>
      </c>
      <c r="P187" s="215">
        <f t="shared" si="47"/>
        <v>40329.773053349229</v>
      </c>
      <c r="Q187" s="215">
        <f t="shared" si="47"/>
        <v>40831.181127819822</v>
      </c>
      <c r="R187" s="215">
        <f t="shared" si="47"/>
        <v>39612.090106098723</v>
      </c>
      <c r="T187" s="215">
        <f>T181-T185</f>
        <v>46252.831302821709</v>
      </c>
      <c r="U187" s="215">
        <f>U181-U185</f>
        <v>48417.612262963637</v>
      </c>
      <c r="V187" s="215">
        <f>V181-V185</f>
        <v>48560.648160108525</v>
      </c>
      <c r="W187" s="215">
        <f>W181-W185</f>
        <v>45842.726372869729</v>
      </c>
      <c r="X187" s="43"/>
      <c r="Y187" s="215">
        <f>Y181-Y185</f>
        <v>189073.81809876359</v>
      </c>
      <c r="Z187" s="215">
        <f>Z181-Z185</f>
        <v>189073.8180987637</v>
      </c>
      <c r="AA187" s="215">
        <f>AA181-AA185</f>
        <v>189591.82855930825</v>
      </c>
      <c r="AB187" s="215">
        <f>AB181-AB185</f>
        <v>189073.8180987637</v>
      </c>
      <c r="AC187" s="215">
        <f>AC181-AC185</f>
        <v>189073.8180987637</v>
      </c>
      <c r="AD187" s="43"/>
    </row>
    <row r="188" spans="1:30" x14ac:dyDescent="0.25">
      <c r="A188" s="33"/>
      <c r="B188" s="33"/>
      <c r="C188" s="33"/>
      <c r="H188" s="239"/>
      <c r="I188" s="239"/>
      <c r="J188" s="214"/>
      <c r="K188" s="214"/>
      <c r="L188" s="239"/>
      <c r="M188" s="239"/>
      <c r="N188" s="214"/>
      <c r="O188" s="214"/>
      <c r="P188" s="214"/>
      <c r="Q188" s="214"/>
      <c r="R188" s="214"/>
      <c r="X188" s="43"/>
      <c r="Z188" s="43"/>
      <c r="AA188" s="43"/>
      <c r="AB188" s="43"/>
      <c r="AC188" s="43"/>
      <c r="AD188" s="43"/>
    </row>
    <row r="189" spans="1:30" x14ac:dyDescent="0.25">
      <c r="A189" s="234" t="s">
        <v>103</v>
      </c>
      <c r="B189" s="101"/>
      <c r="C189" s="101"/>
      <c r="H189" s="615">
        <f t="shared" ref="H189:P189" si="48">H167*1000000/H148</f>
        <v>39429.875310408854</v>
      </c>
      <c r="I189" s="615">
        <f t="shared" si="48"/>
        <v>40430.426263391775</v>
      </c>
      <c r="J189" s="610">
        <f t="shared" si="48"/>
        <v>41762.304571137771</v>
      </c>
      <c r="K189" s="610">
        <f t="shared" si="48"/>
        <v>41758.545478511995</v>
      </c>
      <c r="L189" s="615">
        <f t="shared" si="48"/>
        <v>42010.621315412092</v>
      </c>
      <c r="M189" s="615">
        <f t="shared" si="48"/>
        <v>43215.054265968633</v>
      </c>
      <c r="N189" s="610">
        <f t="shared" si="48"/>
        <v>39021.850382444951</v>
      </c>
      <c r="O189" s="610">
        <f t="shared" si="48"/>
        <v>41031.588088169396</v>
      </c>
      <c r="P189" s="610">
        <f t="shared" si="48"/>
        <v>41072.745789231296</v>
      </c>
      <c r="Q189" s="610">
        <f t="shared" ref="Q189:R189" si="49">Q167*1000000/Q148</f>
        <v>40452.459050670739</v>
      </c>
      <c r="R189" s="633">
        <f t="shared" si="49"/>
        <v>42146.6797471674</v>
      </c>
      <c r="T189" s="633">
        <f>T211*T122</f>
        <v>40585.592565471903</v>
      </c>
      <c r="U189" s="633">
        <f>U211*U122</f>
        <v>41985.473473436432</v>
      </c>
      <c r="V189" s="633">
        <f>V211*V122</f>
        <v>40896.991567711077</v>
      </c>
      <c r="W189" s="633">
        <f>W211*W122</f>
        <v>41230.447578750718</v>
      </c>
      <c r="X189" s="43"/>
      <c r="Y189" s="633">
        <f>SUM(T189:W191)</f>
        <v>164698.50518537013</v>
      </c>
      <c r="Z189" s="633">
        <f>Z211*Z122</f>
        <v>164698.50518537013</v>
      </c>
      <c r="AA189" s="633">
        <f>AA211*AA122</f>
        <v>165149.73396669992</v>
      </c>
      <c r="AB189" s="633">
        <f>AB211*AB122</f>
        <v>164698.50518537013</v>
      </c>
      <c r="AC189" s="633">
        <f>AC211*AC122</f>
        <v>164698.50518537013</v>
      </c>
      <c r="AD189" s="43"/>
    </row>
    <row r="190" spans="1:30" x14ac:dyDescent="0.25">
      <c r="A190" s="235" t="s">
        <v>104</v>
      </c>
      <c r="B190" s="101"/>
      <c r="C190" s="101"/>
      <c r="H190" s="616"/>
      <c r="I190" s="616"/>
      <c r="J190" s="611"/>
      <c r="K190" s="611"/>
      <c r="L190" s="616"/>
      <c r="M190" s="616"/>
      <c r="N190" s="611"/>
      <c r="O190" s="611"/>
      <c r="P190" s="611"/>
      <c r="Q190" s="611"/>
      <c r="R190" s="634"/>
      <c r="T190" s="634"/>
      <c r="U190" s="634"/>
      <c r="V190" s="634"/>
      <c r="W190" s="634"/>
      <c r="X190" s="43"/>
      <c r="Y190" s="634"/>
      <c r="Z190" s="634"/>
      <c r="AA190" s="634"/>
      <c r="AB190" s="634"/>
      <c r="AC190" s="634"/>
      <c r="AD190" s="43"/>
    </row>
    <row r="191" spans="1:30" x14ac:dyDescent="0.25">
      <c r="A191" s="236" t="s">
        <v>105</v>
      </c>
      <c r="B191" s="101"/>
      <c r="C191" s="101"/>
      <c r="H191" s="617"/>
      <c r="I191" s="617"/>
      <c r="J191" s="612"/>
      <c r="K191" s="612"/>
      <c r="L191" s="617"/>
      <c r="M191" s="617"/>
      <c r="N191" s="612"/>
      <c r="O191" s="612"/>
      <c r="P191" s="612"/>
      <c r="Q191" s="612"/>
      <c r="R191" s="635"/>
      <c r="T191" s="635"/>
      <c r="U191" s="635"/>
      <c r="V191" s="635"/>
      <c r="W191" s="635"/>
      <c r="X191" s="43"/>
      <c r="Y191" s="635"/>
      <c r="Z191" s="635"/>
      <c r="AA191" s="635"/>
      <c r="AB191" s="635"/>
      <c r="AC191" s="635"/>
      <c r="AD191" s="43"/>
    </row>
    <row r="192" spans="1:30" x14ac:dyDescent="0.25">
      <c r="A192" s="31" t="s">
        <v>106</v>
      </c>
      <c r="H192" s="237">
        <f t="shared" ref="H192:R192" si="50">H170*1000000/H148</f>
        <v>2862.4663849404533</v>
      </c>
      <c r="I192" s="237">
        <f t="shared" si="50"/>
        <v>2874.5561366130805</v>
      </c>
      <c r="J192" s="155">
        <f t="shared" si="50"/>
        <v>2689.1312816517338</v>
      </c>
      <c r="K192" s="155">
        <f t="shared" si="50"/>
        <v>2865.1266278384919</v>
      </c>
      <c r="L192" s="237">
        <f t="shared" si="50"/>
        <v>2905.7750759878422</v>
      </c>
      <c r="M192" s="237">
        <f t="shared" si="50"/>
        <v>3380.8123997862108</v>
      </c>
      <c r="N192" s="155">
        <f t="shared" si="50"/>
        <v>3111.7401267017117</v>
      </c>
      <c r="O192" s="155">
        <f t="shared" si="50"/>
        <v>3331.891014806301</v>
      </c>
      <c r="P192" s="155">
        <f t="shared" si="50"/>
        <v>3854.8792927575655</v>
      </c>
      <c r="Q192" s="155">
        <f t="shared" si="50"/>
        <v>3140.7427710017814</v>
      </c>
      <c r="R192" s="155">
        <f t="shared" si="50"/>
        <v>3061.469472231804</v>
      </c>
      <c r="T192" s="237">
        <f>T214*T122</f>
        <v>3295.6748081236237</v>
      </c>
      <c r="U192" s="237">
        <f>U214*U122</f>
        <v>3940.5432770410666</v>
      </c>
      <c r="V192" s="237">
        <f>V214*V122</f>
        <v>3175.256427825977</v>
      </c>
      <c r="W192" s="237">
        <f>W214*W122</f>
        <v>2994.9157880528519</v>
      </c>
      <c r="X192" s="43"/>
      <c r="Y192" s="237">
        <f>SUM(T192:W192)</f>
        <v>13406.390301043517</v>
      </c>
      <c r="Z192" s="237">
        <f>Z214*Z122</f>
        <v>13399.031168601576</v>
      </c>
      <c r="AA192" s="237">
        <f>AA214*AA122</f>
        <v>13435.740843036099</v>
      </c>
      <c r="AB192" s="237">
        <f>AB214*AB122</f>
        <v>13399.031168601576</v>
      </c>
      <c r="AC192" s="237">
        <f>AC214*AC122</f>
        <v>13399.031168601576</v>
      </c>
      <c r="AD192" s="43"/>
    </row>
    <row r="193" spans="1:30" s="33" customFormat="1" x14ac:dyDescent="0.25">
      <c r="A193" s="33" t="s">
        <v>107</v>
      </c>
      <c r="H193" s="238">
        <f t="shared" ref="H193:R193" si="51">SUM(H189:H192)</f>
        <v>42292.341695349307</v>
      </c>
      <c r="I193" s="238">
        <f t="shared" si="51"/>
        <v>43304.982400004854</v>
      </c>
      <c r="J193" s="215">
        <f t="shared" si="51"/>
        <v>44451.435852789502</v>
      </c>
      <c r="K193" s="215">
        <f t="shared" si="51"/>
        <v>44623.672106350488</v>
      </c>
      <c r="L193" s="238">
        <f t="shared" si="51"/>
        <v>44916.396391399932</v>
      </c>
      <c r="M193" s="238">
        <f t="shared" si="51"/>
        <v>46595.866665754846</v>
      </c>
      <c r="N193" s="215">
        <f t="shared" si="51"/>
        <v>42133.590509146663</v>
      </c>
      <c r="O193" s="215">
        <f t="shared" si="51"/>
        <v>44363.479102975696</v>
      </c>
      <c r="P193" s="215">
        <f t="shared" si="51"/>
        <v>44927.625081988859</v>
      </c>
      <c r="Q193" s="215">
        <f t="shared" si="51"/>
        <v>43593.201821672519</v>
      </c>
      <c r="R193" s="215">
        <f t="shared" si="51"/>
        <v>45208.149219399202</v>
      </c>
      <c r="T193" s="215">
        <f>SUM(T189:T192)</f>
        <v>43881.267373595525</v>
      </c>
      <c r="U193" s="215">
        <f>SUM(U189:U192)</f>
        <v>45926.016750477502</v>
      </c>
      <c r="V193" s="215">
        <f>SUM(V189:V192)</f>
        <v>44072.247995537051</v>
      </c>
      <c r="W193" s="215">
        <f>SUM(W189:W192)</f>
        <v>44225.363366803569</v>
      </c>
      <c r="X193" s="46"/>
      <c r="Y193" s="215">
        <f>SUM(Y189:Y192)</f>
        <v>178104.89548641365</v>
      </c>
      <c r="Z193" s="215">
        <f>SUM(Z189:Z192)</f>
        <v>178097.53635397169</v>
      </c>
      <c r="AA193" s="215">
        <f>SUM(AA189:AA192)</f>
        <v>178585.47480973601</v>
      </c>
      <c r="AB193" s="215">
        <f>SUM(AB189:AB192)</f>
        <v>178097.53635397169</v>
      </c>
      <c r="AC193" s="215">
        <f>SUM(AC189:AC192)</f>
        <v>178097.53635397169</v>
      </c>
      <c r="AD193" s="46"/>
    </row>
    <row r="194" spans="1:30" x14ac:dyDescent="0.25">
      <c r="H194" s="239"/>
      <c r="I194" s="239"/>
      <c r="J194" s="214"/>
      <c r="K194" s="214"/>
      <c r="L194" s="239"/>
      <c r="M194" s="239"/>
      <c r="N194" s="214"/>
      <c r="O194" s="214"/>
      <c r="P194" s="214"/>
      <c r="Q194" s="214"/>
      <c r="R194" s="214"/>
      <c r="X194" s="43"/>
      <c r="Z194" s="43"/>
      <c r="AA194" s="43"/>
      <c r="AB194" s="43"/>
      <c r="AC194" s="43"/>
      <c r="AD194" s="43"/>
    </row>
    <row r="195" spans="1:30" x14ac:dyDescent="0.25">
      <c r="A195" s="33" t="s">
        <v>8655</v>
      </c>
      <c r="B195" s="33"/>
      <c r="C195" s="33"/>
      <c r="H195" s="238">
        <f t="shared" ref="H195:R195" si="52">H187-H193</f>
        <v>3977.6712597403675</v>
      </c>
      <c r="I195" s="238">
        <f t="shared" si="52"/>
        <v>2137.168270206741</v>
      </c>
      <c r="J195" s="215">
        <f t="shared" si="52"/>
        <v>-2838.0952380952367</v>
      </c>
      <c r="K195" s="215">
        <f t="shared" si="52"/>
        <v>-2330.989724175226</v>
      </c>
      <c r="L195" s="238">
        <f t="shared" si="52"/>
        <v>-1075.5663966129505</v>
      </c>
      <c r="M195" s="238">
        <f t="shared" si="52"/>
        <v>-2481.791409234298</v>
      </c>
      <c r="N195" s="215">
        <f t="shared" si="52"/>
        <v>-1447.0314318975652</v>
      </c>
      <c r="O195" s="215">
        <f t="shared" si="52"/>
        <v>-4702.63929618767</v>
      </c>
      <c r="P195" s="215">
        <f t="shared" si="52"/>
        <v>-4597.8520286396306</v>
      </c>
      <c r="Q195" s="215">
        <f t="shared" si="52"/>
        <v>-2762.0206938526971</v>
      </c>
      <c r="R195" s="215">
        <f t="shared" si="52"/>
        <v>-5596.0591133004782</v>
      </c>
      <c r="T195" s="215">
        <f>T187-T193</f>
        <v>2371.563929226184</v>
      </c>
      <c r="U195" s="215">
        <f>U187-U193</f>
        <v>2491.5955124861357</v>
      </c>
      <c r="V195" s="215">
        <f>V187-V193</f>
        <v>4488.4001645714743</v>
      </c>
      <c r="W195" s="215">
        <f>W187-W193</f>
        <v>1617.3630060661599</v>
      </c>
      <c r="X195" s="43"/>
      <c r="Y195" s="215">
        <f>Y187-Y193</f>
        <v>10968.922612349939</v>
      </c>
      <c r="Z195" s="215">
        <f>Z187-Z193</f>
        <v>10976.28174479201</v>
      </c>
      <c r="AA195" s="215">
        <f>AA187-AA193</f>
        <v>11006.353749572241</v>
      </c>
      <c r="AB195" s="215">
        <f>AB187-AB193</f>
        <v>10976.28174479201</v>
      </c>
      <c r="AC195" s="215">
        <f>AC187-AC193</f>
        <v>10976.28174479201</v>
      </c>
      <c r="AD195" s="43"/>
    </row>
    <row r="196" spans="1:30" x14ac:dyDescent="0.25">
      <c r="A196" s="221" t="s">
        <v>8659</v>
      </c>
      <c r="B196" s="221"/>
      <c r="C196" s="221"/>
      <c r="H196" s="237">
        <f t="shared" ref="H196:R196" si="53">H192</f>
        <v>2862.4663849404533</v>
      </c>
      <c r="I196" s="237">
        <f t="shared" si="53"/>
        <v>2874.5561366130805</v>
      </c>
      <c r="J196" s="155">
        <f t="shared" si="53"/>
        <v>2689.1312816517338</v>
      </c>
      <c r="K196" s="155">
        <f t="shared" si="53"/>
        <v>2865.1266278384919</v>
      </c>
      <c r="L196" s="237">
        <f t="shared" si="53"/>
        <v>2905.7750759878422</v>
      </c>
      <c r="M196" s="237">
        <f t="shared" si="53"/>
        <v>3380.8123997862108</v>
      </c>
      <c r="N196" s="155">
        <f t="shared" si="53"/>
        <v>3111.7401267017117</v>
      </c>
      <c r="O196" s="155">
        <f t="shared" si="53"/>
        <v>3331.891014806301</v>
      </c>
      <c r="P196" s="155">
        <f t="shared" si="53"/>
        <v>3854.8792927575655</v>
      </c>
      <c r="Q196" s="155">
        <f t="shared" si="53"/>
        <v>3140.7427710017814</v>
      </c>
      <c r="R196" s="155">
        <f t="shared" si="53"/>
        <v>3061.469472231804</v>
      </c>
      <c r="T196" s="155">
        <f>T192</f>
        <v>3295.6748081236237</v>
      </c>
      <c r="U196" s="155">
        <f>U192</f>
        <v>3940.5432770410666</v>
      </c>
      <c r="V196" s="155">
        <f>V192</f>
        <v>3175.256427825977</v>
      </c>
      <c r="W196" s="155">
        <f>W192</f>
        <v>2994.9157880528519</v>
      </c>
      <c r="X196" s="43"/>
      <c r="Y196" s="155">
        <f>SUM(T196:W196)</f>
        <v>13406.390301043517</v>
      </c>
      <c r="Z196" s="155">
        <f>Z192</f>
        <v>13399.031168601576</v>
      </c>
      <c r="AA196" s="155">
        <f>AA192</f>
        <v>13435.740843036099</v>
      </c>
      <c r="AB196" s="155">
        <f>AB192</f>
        <v>13399.031168601576</v>
      </c>
      <c r="AC196" s="155">
        <f>AC192</f>
        <v>13399.031168601576</v>
      </c>
      <c r="AD196" s="43"/>
    </row>
    <row r="197" spans="1:30" x14ac:dyDescent="0.25">
      <c r="A197" s="33" t="s">
        <v>8660</v>
      </c>
      <c r="B197" s="33"/>
      <c r="C197" s="33"/>
      <c r="H197" s="238">
        <f t="shared" ref="H197:R197" si="54">SUM(H195:H196)</f>
        <v>6840.1376446808208</v>
      </c>
      <c r="I197" s="238">
        <f t="shared" si="54"/>
        <v>5011.7244068198215</v>
      </c>
      <c r="J197" s="238">
        <f t="shared" si="54"/>
        <v>-148.96395644350287</v>
      </c>
      <c r="K197" s="238">
        <f t="shared" si="54"/>
        <v>534.13690366326591</v>
      </c>
      <c r="L197" s="238">
        <f t="shared" si="54"/>
        <v>1830.2086793748917</v>
      </c>
      <c r="M197" s="238">
        <f t="shared" si="54"/>
        <v>899.02099055191275</v>
      </c>
      <c r="N197" s="238">
        <f t="shared" si="54"/>
        <v>1664.7086948041465</v>
      </c>
      <c r="O197" s="238">
        <f t="shared" si="54"/>
        <v>-1370.748281381369</v>
      </c>
      <c r="P197" s="238">
        <f t="shared" si="54"/>
        <v>-742.97273588206508</v>
      </c>
      <c r="Q197" s="238">
        <f t="shared" si="54"/>
        <v>378.72207714908427</v>
      </c>
      <c r="R197" s="238">
        <f t="shared" si="54"/>
        <v>-2534.5896410686742</v>
      </c>
      <c r="T197" s="238">
        <f>SUM(T195:T196)</f>
        <v>5667.2387373498077</v>
      </c>
      <c r="U197" s="238">
        <f>SUM(U195:U196)</f>
        <v>6432.1387895272019</v>
      </c>
      <c r="V197" s="238">
        <f>SUM(V195:V196)</f>
        <v>7663.6565923974513</v>
      </c>
      <c r="W197" s="238">
        <f>SUM(W195:W196)</f>
        <v>4612.2787941190118</v>
      </c>
      <c r="X197" s="43"/>
      <c r="Y197" s="238">
        <f>SUM(Y195:Y196)</f>
        <v>24375.312913393456</v>
      </c>
      <c r="Z197" s="238">
        <f>SUM(Z195:Z196)</f>
        <v>24375.312913393587</v>
      </c>
      <c r="AA197" s="238">
        <f>SUM(AA195:AA196)</f>
        <v>24442.09459260834</v>
      </c>
      <c r="AB197" s="238">
        <f>SUM(AB195:AB196)</f>
        <v>24375.312913393587</v>
      </c>
      <c r="AC197" s="238">
        <f>SUM(AC195:AC196)</f>
        <v>24375.312913393587</v>
      </c>
      <c r="AD197" s="43"/>
    </row>
    <row r="198" spans="1:30" collapsed="1" x14ac:dyDescent="0.25">
      <c r="A198" s="33"/>
      <c r="B198" s="33"/>
      <c r="C198" s="33"/>
      <c r="H198" s="238"/>
      <c r="I198" s="238"/>
      <c r="J198" s="215"/>
      <c r="K198" s="215"/>
      <c r="L198" s="238"/>
      <c r="M198" s="238"/>
      <c r="N198" s="215"/>
      <c r="O198" s="215"/>
      <c r="P198" s="215"/>
      <c r="Q198" s="215"/>
      <c r="R198" s="215"/>
      <c r="X198" s="43"/>
      <c r="Y198" s="43"/>
      <c r="Z198" s="43"/>
      <c r="AA198" s="43"/>
      <c r="AB198" s="43"/>
      <c r="AC198" s="43"/>
      <c r="AD198" s="43"/>
    </row>
    <row r="199" spans="1:30" x14ac:dyDescent="0.25">
      <c r="A199" s="203" t="s">
        <v>8691</v>
      </c>
      <c r="B199" s="204"/>
      <c r="C199" s="204"/>
      <c r="D199" s="204"/>
      <c r="E199" s="204"/>
      <c r="F199" s="204"/>
      <c r="G199" s="204"/>
      <c r="H199" s="204"/>
      <c r="I199" s="204"/>
      <c r="J199" s="205"/>
      <c r="K199" s="204"/>
      <c r="L199" s="206"/>
      <c r="M199" s="204"/>
      <c r="N199" s="204"/>
      <c r="O199" s="204"/>
      <c r="P199" s="204"/>
      <c r="Q199" s="204"/>
      <c r="R199" s="204"/>
      <c r="S199" s="41"/>
      <c r="T199" s="41"/>
      <c r="U199" s="41"/>
      <c r="V199" s="41"/>
      <c r="W199" s="41"/>
      <c r="X199" s="41"/>
      <c r="Y199" s="41"/>
      <c r="Z199" s="41"/>
      <c r="AA199" s="41"/>
      <c r="AB199" s="41"/>
      <c r="AC199" s="42"/>
      <c r="AD199" s="43"/>
    </row>
    <row r="200" spans="1:30" x14ac:dyDescent="0.25">
      <c r="A200" s="33"/>
      <c r="B200" s="33"/>
      <c r="C200" s="33"/>
      <c r="G200" s="38"/>
      <c r="H200" s="38"/>
      <c r="I200" s="38"/>
      <c r="J200" s="38"/>
      <c r="K200" s="38"/>
      <c r="L200" s="38"/>
      <c r="M200" s="38"/>
      <c r="N200" s="38"/>
      <c r="O200" s="38"/>
      <c r="P200" s="38"/>
      <c r="Q200" s="38"/>
      <c r="R200" s="38"/>
      <c r="S200" s="38"/>
      <c r="T200" s="38"/>
      <c r="U200" s="38"/>
      <c r="V200" s="38"/>
      <c r="W200" s="38"/>
      <c r="X200" s="43"/>
      <c r="Y200" s="43"/>
      <c r="Z200" s="43"/>
      <c r="AA200" s="43"/>
      <c r="AB200" s="43"/>
      <c r="AC200" s="43"/>
      <c r="AD200" s="43"/>
    </row>
    <row r="201" spans="1:30" x14ac:dyDescent="0.25">
      <c r="A201" s="201" t="s">
        <v>97</v>
      </c>
      <c r="B201" s="201"/>
      <c r="C201" s="201"/>
      <c r="G201" s="38"/>
      <c r="H201" s="80">
        <f t="shared" ref="H201:R201" si="55">H179/H122</f>
        <v>960.32567432567441</v>
      </c>
      <c r="I201" s="80">
        <f t="shared" si="55"/>
        <v>930.96442656256215</v>
      </c>
      <c r="J201" s="80">
        <f t="shared" si="55"/>
        <v>904.04669887278578</v>
      </c>
      <c r="K201" s="80">
        <f t="shared" si="55"/>
        <v>911.19359465751165</v>
      </c>
      <c r="L201" s="80">
        <f t="shared" si="55"/>
        <v>944.08695652173924</v>
      </c>
      <c r="M201" s="80">
        <f t="shared" si="55"/>
        <v>931.36934166750643</v>
      </c>
      <c r="N201" s="80">
        <f t="shared" si="55"/>
        <v>862.90808321101406</v>
      </c>
      <c r="O201" s="80">
        <f t="shared" si="55"/>
        <v>875.72536019380357</v>
      </c>
      <c r="P201" s="80">
        <f t="shared" si="55"/>
        <v>890.09785202863952</v>
      </c>
      <c r="Q201" s="80">
        <f t="shared" si="55"/>
        <v>888.441272665253</v>
      </c>
      <c r="R201" s="80">
        <f t="shared" si="55"/>
        <v>856.9601360034269</v>
      </c>
      <c r="S201" s="38"/>
      <c r="T201" s="80">
        <f>T104*T108</f>
        <v>1079.4808601938037</v>
      </c>
      <c r="U201" s="80">
        <f>U104*U108</f>
        <v>1093.8533520286396</v>
      </c>
      <c r="V201" s="80">
        <f>V104*V108</f>
        <v>1092.1967726652529</v>
      </c>
      <c r="W201" s="80">
        <f>W104*W108</f>
        <v>1060.7156360034269</v>
      </c>
      <c r="X201" s="43"/>
      <c r="Y201" s="80">
        <f>$T$122/$Y$122*T201+$U$122/$Y$122*U201+$V$122/$Y$122*V201+$W$122/$Y$122*W201</f>
        <v>1081.6815807939251</v>
      </c>
      <c r="Z201" s="80">
        <f>Z104*Z108</f>
        <v>1081.6815807939251</v>
      </c>
      <c r="AA201" s="80">
        <f>AA104*AA108</f>
        <v>1081.6815807939251</v>
      </c>
      <c r="AB201" s="80">
        <f>AB104*AB108</f>
        <v>1081.6815807939251</v>
      </c>
      <c r="AC201" s="80">
        <f>AC104*AC108</f>
        <v>1081.6815807939251</v>
      </c>
      <c r="AD201" s="43"/>
    </row>
    <row r="202" spans="1:30" x14ac:dyDescent="0.25">
      <c r="A202" s="201" t="s">
        <v>98</v>
      </c>
      <c r="B202" s="201"/>
      <c r="C202" s="201"/>
      <c r="G202" s="38"/>
      <c r="H202" s="232">
        <f t="shared" ref="H202:R202" si="56">H180/H122</f>
        <v>210.80319680319693</v>
      </c>
      <c r="I202" s="232">
        <f t="shared" si="56"/>
        <v>204.3580448551966</v>
      </c>
      <c r="J202" s="232">
        <f t="shared" si="56"/>
        <v>198.44927536231882</v>
      </c>
      <c r="K202" s="232">
        <f t="shared" si="56"/>
        <v>200.01810614433191</v>
      </c>
      <c r="L202" s="232">
        <f t="shared" si="56"/>
        <v>221.45249597423512</v>
      </c>
      <c r="M202" s="232">
        <f t="shared" si="56"/>
        <v>218.46935174916814</v>
      </c>
      <c r="N202" s="232">
        <f t="shared" si="56"/>
        <v>202.41053803715135</v>
      </c>
      <c r="O202" s="232">
        <f t="shared" si="56"/>
        <v>205.41705979854632</v>
      </c>
      <c r="P202" s="232">
        <f t="shared" si="56"/>
        <v>208.78838504375497</v>
      </c>
      <c r="Q202" s="232">
        <f t="shared" si="56"/>
        <v>208.39980469925689</v>
      </c>
      <c r="R202" s="232">
        <f t="shared" si="56"/>
        <v>201.01534054401367</v>
      </c>
      <c r="S202" s="38"/>
      <c r="T202" s="232">
        <f>T110</f>
        <v>205.41705979854632</v>
      </c>
      <c r="U202" s="232">
        <f>U110</f>
        <v>208.78838504375497</v>
      </c>
      <c r="V202" s="232">
        <f>V110</f>
        <v>208.39980469925689</v>
      </c>
      <c r="W202" s="232">
        <f>W110</f>
        <v>201.01534054401367</v>
      </c>
      <c r="X202" s="43"/>
      <c r="Y202" s="232">
        <f>$T$122/$Y$122*T202+$U$122/$Y$122*U202+$V$122/$Y$122*V202+$W$122/$Y$122*W202</f>
        <v>205.93327821092066</v>
      </c>
      <c r="Z202" s="232">
        <f>Z110</f>
        <v>205.93327821092066</v>
      </c>
      <c r="AA202" s="232">
        <f>AA110</f>
        <v>205.93327821092066</v>
      </c>
      <c r="AB202" s="232">
        <f>AB110</f>
        <v>205.93327821092066</v>
      </c>
      <c r="AC202" s="232">
        <f>AC110</f>
        <v>205.93327821092066</v>
      </c>
      <c r="AD202" s="43"/>
    </row>
    <row r="203" spans="1:30" x14ac:dyDescent="0.25">
      <c r="A203" s="33" t="s">
        <v>337</v>
      </c>
      <c r="B203" s="33"/>
      <c r="C203" s="33"/>
      <c r="G203" s="38"/>
      <c r="H203" s="233">
        <f t="shared" ref="H203:R203" si="57">SUM(H201:H202)</f>
        <v>1171.1288711288714</v>
      </c>
      <c r="I203" s="233">
        <f t="shared" si="57"/>
        <v>1135.3224714177588</v>
      </c>
      <c r="J203" s="233">
        <f t="shared" si="57"/>
        <v>1102.4959742351045</v>
      </c>
      <c r="K203" s="233">
        <f t="shared" si="57"/>
        <v>1111.2117008018436</v>
      </c>
      <c r="L203" s="233">
        <f t="shared" si="57"/>
        <v>1165.5394524959743</v>
      </c>
      <c r="M203" s="233">
        <f t="shared" si="57"/>
        <v>1149.8386934166747</v>
      </c>
      <c r="N203" s="233">
        <f t="shared" si="57"/>
        <v>1065.3186212481655</v>
      </c>
      <c r="O203" s="233">
        <f t="shared" si="57"/>
        <v>1081.1424199923499</v>
      </c>
      <c r="P203" s="233">
        <f t="shared" si="57"/>
        <v>1098.8862370723946</v>
      </c>
      <c r="Q203" s="233">
        <f t="shared" si="57"/>
        <v>1096.8410773645098</v>
      </c>
      <c r="R203" s="233">
        <f t="shared" si="57"/>
        <v>1057.9754765474406</v>
      </c>
      <c r="S203" s="38"/>
      <c r="T203" s="233">
        <f>SUM(T201:T202)</f>
        <v>1284.8979199923499</v>
      </c>
      <c r="U203" s="233">
        <f>SUM(U201:U202)</f>
        <v>1302.6417370723946</v>
      </c>
      <c r="V203" s="233">
        <f>SUM(V201:V202)</f>
        <v>1300.5965773645098</v>
      </c>
      <c r="W203" s="233">
        <f>SUM(W201:W202)</f>
        <v>1261.7309765474406</v>
      </c>
      <c r="X203" s="43"/>
      <c r="Y203" s="233">
        <f>SUM(Y201:Y202)</f>
        <v>1287.6148590048458</v>
      </c>
      <c r="Z203" s="233">
        <f>SUM(Z201:Z202)</f>
        <v>1287.6148590048458</v>
      </c>
      <c r="AA203" s="233">
        <f>SUM(AA201:AA202)</f>
        <v>1287.6148590048458</v>
      </c>
      <c r="AB203" s="233">
        <f>SUM(AB201:AB202)</f>
        <v>1287.6148590048458</v>
      </c>
      <c r="AC203" s="233">
        <f>SUM(AC201:AC202)</f>
        <v>1287.6148590048458</v>
      </c>
      <c r="AD203" s="43"/>
    </row>
    <row r="204" spans="1:30" x14ac:dyDescent="0.25">
      <c r="A204" s="33"/>
      <c r="B204" s="33"/>
      <c r="C204" s="33"/>
      <c r="G204" s="38"/>
      <c r="H204" s="38"/>
      <c r="I204" s="38"/>
      <c r="J204" s="38"/>
      <c r="K204" s="38"/>
      <c r="L204" s="38"/>
      <c r="M204" s="38"/>
      <c r="N204" s="38"/>
      <c r="O204" s="38"/>
      <c r="P204" s="38"/>
      <c r="Q204" s="38"/>
      <c r="R204" s="38"/>
      <c r="S204" s="38"/>
      <c r="T204" s="38"/>
      <c r="U204" s="38"/>
      <c r="V204" s="38"/>
      <c r="W204" s="38"/>
      <c r="X204" s="43"/>
      <c r="Y204" s="38"/>
      <c r="Z204" s="43"/>
      <c r="AA204" s="43"/>
      <c r="AB204" s="43"/>
      <c r="AC204" s="43"/>
      <c r="AD204" s="43"/>
    </row>
    <row r="205" spans="1:30" x14ac:dyDescent="0.25">
      <c r="A205" s="207" t="s">
        <v>101</v>
      </c>
      <c r="B205" s="207"/>
      <c r="C205" s="207"/>
      <c r="G205" s="38"/>
      <c r="H205" s="80">
        <f t="shared" ref="H205:R205" si="58">H201*H114</f>
        <v>556.72998154197171</v>
      </c>
      <c r="I205" s="80">
        <f t="shared" si="58"/>
        <v>531.62545060149455</v>
      </c>
      <c r="J205" s="80">
        <f t="shared" si="58"/>
        <v>547.09146049203389</v>
      </c>
      <c r="K205" s="80">
        <f t="shared" si="58"/>
        <v>549.7513880295503</v>
      </c>
      <c r="L205" s="80">
        <f t="shared" si="58"/>
        <v>564.12077995642073</v>
      </c>
      <c r="M205" s="80">
        <f t="shared" si="58"/>
        <v>548.19454945437371</v>
      </c>
      <c r="N205" s="80">
        <f t="shared" si="58"/>
        <v>522.33833523991075</v>
      </c>
      <c r="O205" s="80">
        <f t="shared" si="58"/>
        <v>544.02550793618707</v>
      </c>
      <c r="P205" s="80">
        <f t="shared" si="58"/>
        <v>548.61614851610807</v>
      </c>
      <c r="Q205" s="80">
        <f t="shared" si="58"/>
        <v>543.36981959580407</v>
      </c>
      <c r="R205" s="80">
        <f t="shared" si="58"/>
        <v>525.55187486551745</v>
      </c>
      <c r="S205" s="38"/>
      <c r="T205" s="80">
        <f t="shared" ref="T205:W206" si="59">T201*T114</f>
        <v>670.60422133299949</v>
      </c>
      <c r="U205" s="80">
        <f t="shared" si="59"/>
        <v>674.20184383511798</v>
      </c>
      <c r="V205" s="80">
        <f t="shared" si="59"/>
        <v>667.9864855286213</v>
      </c>
      <c r="W205" s="80">
        <f t="shared" si="59"/>
        <v>650.50994530571893</v>
      </c>
      <c r="X205" s="43"/>
      <c r="Y205" s="80">
        <f>$T$122/$Y$122*T205+$U$122/$Y$122*U205+$V$122/$Y$122*V205+$W$122/$Y$122*W205</f>
        <v>665.89645348022373</v>
      </c>
      <c r="Z205" s="80">
        <f t="shared" ref="Z205:AC206" si="60">Z201*Z114</f>
        <v>665.89645348022373</v>
      </c>
      <c r="AA205" s="80">
        <f t="shared" si="60"/>
        <v>665.89645348022373</v>
      </c>
      <c r="AB205" s="80">
        <f t="shared" si="60"/>
        <v>665.89645348022373</v>
      </c>
      <c r="AC205" s="80">
        <f t="shared" si="60"/>
        <v>665.89645348022373</v>
      </c>
      <c r="AD205" s="43"/>
    </row>
    <row r="206" spans="1:30" x14ac:dyDescent="0.25">
      <c r="A206" s="207" t="s">
        <v>102</v>
      </c>
      <c r="B206" s="207"/>
      <c r="C206" s="207"/>
      <c r="G206" s="38"/>
      <c r="H206" s="232">
        <f t="shared" ref="H206:R206" si="61">H202*H115</f>
        <v>105.93720876173842</v>
      </c>
      <c r="I206" s="232">
        <f t="shared" si="61"/>
        <v>104.3327277370159</v>
      </c>
      <c r="J206" s="232">
        <f t="shared" si="61"/>
        <v>103.08559401813307</v>
      </c>
      <c r="K206" s="232">
        <f t="shared" si="61"/>
        <v>101.75724340082311</v>
      </c>
      <c r="L206" s="232">
        <f t="shared" si="61"/>
        <v>114.29833926414284</v>
      </c>
      <c r="M206" s="232">
        <f t="shared" si="61"/>
        <v>116.87408619833889</v>
      </c>
      <c r="N206" s="232">
        <f t="shared" si="61"/>
        <v>100.73507864685133</v>
      </c>
      <c r="O206" s="232">
        <f t="shared" si="61"/>
        <v>106.02082719977136</v>
      </c>
      <c r="P206" s="232">
        <f t="shared" si="61"/>
        <v>102.16149907462827</v>
      </c>
      <c r="Q206" s="232">
        <f t="shared" si="61"/>
        <v>104.77695966079575</v>
      </c>
      <c r="R206" s="232">
        <f t="shared" si="61"/>
        <v>101.85740487650234</v>
      </c>
      <c r="S206" s="38"/>
      <c r="T206" s="232">
        <f t="shared" si="59"/>
        <v>106.02082719977136</v>
      </c>
      <c r="U206" s="232">
        <f t="shared" si="59"/>
        <v>102.16149907462827</v>
      </c>
      <c r="V206" s="232">
        <f t="shared" si="59"/>
        <v>104.77695966079575</v>
      </c>
      <c r="W206" s="232">
        <f t="shared" si="59"/>
        <v>101.85740487650234</v>
      </c>
      <c r="X206" s="43"/>
      <c r="Y206" s="232">
        <f>$T$122/$Y$122*T206+$U$122/$Y$122*U206+$V$122/$Y$122*V206+$W$122/$Y$122*W206</f>
        <v>103.70794498006414</v>
      </c>
      <c r="Z206" s="232">
        <f t="shared" si="60"/>
        <v>103.70794498006414</v>
      </c>
      <c r="AA206" s="232">
        <f t="shared" si="60"/>
        <v>103.70794498006414</v>
      </c>
      <c r="AB206" s="232">
        <f t="shared" si="60"/>
        <v>103.70794498006414</v>
      </c>
      <c r="AC206" s="232">
        <f t="shared" si="60"/>
        <v>103.70794498006414</v>
      </c>
      <c r="AD206" s="43"/>
    </row>
    <row r="207" spans="1:30" x14ac:dyDescent="0.25">
      <c r="A207" s="33" t="s">
        <v>8654</v>
      </c>
      <c r="B207" s="33"/>
      <c r="C207" s="33"/>
      <c r="G207" s="38"/>
      <c r="H207" s="233">
        <f t="shared" ref="H207:R207" si="62">SUM(H205:H206)</f>
        <v>662.66719030371019</v>
      </c>
      <c r="I207" s="233">
        <f t="shared" si="62"/>
        <v>635.95817833851049</v>
      </c>
      <c r="J207" s="233">
        <f t="shared" si="62"/>
        <v>650.17705451016695</v>
      </c>
      <c r="K207" s="233">
        <f t="shared" si="62"/>
        <v>651.50863143037338</v>
      </c>
      <c r="L207" s="233">
        <f t="shared" si="62"/>
        <v>678.41911922056352</v>
      </c>
      <c r="M207" s="233">
        <f t="shared" si="62"/>
        <v>665.0686356527126</v>
      </c>
      <c r="N207" s="233">
        <f t="shared" si="62"/>
        <v>623.07341388676207</v>
      </c>
      <c r="O207" s="233">
        <f t="shared" si="62"/>
        <v>650.04633513595843</v>
      </c>
      <c r="P207" s="233">
        <f t="shared" si="62"/>
        <v>650.77764759073636</v>
      </c>
      <c r="Q207" s="233">
        <f t="shared" si="62"/>
        <v>648.14677925659987</v>
      </c>
      <c r="R207" s="233">
        <f t="shared" si="62"/>
        <v>627.40927974201975</v>
      </c>
      <c r="S207" s="38"/>
      <c r="T207" s="233">
        <f>SUM(T205:T206)</f>
        <v>776.62504853277085</v>
      </c>
      <c r="U207" s="233">
        <f>SUM(U205:U206)</f>
        <v>776.36334290974628</v>
      </c>
      <c r="V207" s="233">
        <f>SUM(V205:V206)</f>
        <v>772.7634451894171</v>
      </c>
      <c r="W207" s="233">
        <f>SUM(W205:W206)</f>
        <v>752.36735018222123</v>
      </c>
      <c r="X207" s="43"/>
      <c r="Y207" s="233">
        <f>SUM(Y205:Y206)</f>
        <v>769.60439846028783</v>
      </c>
      <c r="Z207" s="233">
        <f>SUM(Z205:Z206)</f>
        <v>769.60439846028783</v>
      </c>
      <c r="AA207" s="233">
        <f>SUM(AA205:AA206)</f>
        <v>769.60439846028783</v>
      </c>
      <c r="AB207" s="233">
        <f>SUM(AB205:AB206)</f>
        <v>769.60439846028783</v>
      </c>
      <c r="AC207" s="233">
        <f>SUM(AC205:AC206)</f>
        <v>769.60439846028783</v>
      </c>
      <c r="AD207" s="43"/>
    </row>
    <row r="208" spans="1:30" x14ac:dyDescent="0.25">
      <c r="A208" s="33"/>
      <c r="B208" s="33"/>
      <c r="C208" s="33"/>
      <c r="G208" s="38"/>
      <c r="H208" s="38"/>
      <c r="I208" s="38"/>
      <c r="J208" s="38"/>
      <c r="K208" s="38"/>
      <c r="L208" s="38"/>
      <c r="M208" s="38"/>
      <c r="N208" s="38"/>
      <c r="O208" s="38"/>
      <c r="P208" s="38"/>
      <c r="Q208" s="38"/>
      <c r="R208" s="38"/>
      <c r="S208" s="38"/>
      <c r="T208" s="38"/>
      <c r="U208" s="38"/>
      <c r="V208" s="38"/>
      <c r="W208" s="38"/>
      <c r="X208" s="43"/>
      <c r="Y208" s="38"/>
      <c r="Z208" s="43"/>
      <c r="AA208" s="43"/>
      <c r="AB208" s="43"/>
      <c r="AC208" s="43"/>
      <c r="AD208" s="43"/>
    </row>
    <row r="209" spans="1:30" x14ac:dyDescent="0.25">
      <c r="A209" s="33" t="s">
        <v>8653</v>
      </c>
      <c r="B209" s="33"/>
      <c r="C209" s="33"/>
      <c r="G209" s="38"/>
      <c r="H209" s="233">
        <f t="shared" ref="H209:R209" si="63">H203-H207</f>
        <v>508.46168082516124</v>
      </c>
      <c r="I209" s="233">
        <f t="shared" si="63"/>
        <v>499.36429307924834</v>
      </c>
      <c r="J209" s="233">
        <f t="shared" si="63"/>
        <v>452.31891972493759</v>
      </c>
      <c r="K209" s="233">
        <f t="shared" si="63"/>
        <v>459.70306937147018</v>
      </c>
      <c r="L209" s="233">
        <f t="shared" si="63"/>
        <v>487.12033327541076</v>
      </c>
      <c r="M209" s="233">
        <f t="shared" si="63"/>
        <v>484.77005776396209</v>
      </c>
      <c r="N209" s="233">
        <f t="shared" si="63"/>
        <v>442.24520736140346</v>
      </c>
      <c r="O209" s="233">
        <f t="shared" si="63"/>
        <v>431.09608485639149</v>
      </c>
      <c r="P209" s="233">
        <f t="shared" si="63"/>
        <v>448.10858948165821</v>
      </c>
      <c r="Q209" s="233">
        <f t="shared" si="63"/>
        <v>448.69429810790996</v>
      </c>
      <c r="R209" s="233">
        <f t="shared" si="63"/>
        <v>430.56619680542087</v>
      </c>
      <c r="S209" s="38"/>
      <c r="T209" s="233">
        <f>T203-T207</f>
        <v>508.27287145957905</v>
      </c>
      <c r="U209" s="233">
        <f>U203-U207</f>
        <v>526.27839416264828</v>
      </c>
      <c r="V209" s="233">
        <f>V203-V207</f>
        <v>527.83313217509271</v>
      </c>
      <c r="W209" s="233">
        <f>W203-W207</f>
        <v>509.36362636521937</v>
      </c>
      <c r="X209" s="43"/>
      <c r="Y209" s="233">
        <f>Y203-Y207</f>
        <v>518.01046054455799</v>
      </c>
      <c r="Z209" s="233">
        <f>Z203-Z207</f>
        <v>518.01046054455799</v>
      </c>
      <c r="AA209" s="233">
        <f>AA203-AA207</f>
        <v>518.01046054455799</v>
      </c>
      <c r="AB209" s="233">
        <f>AB203-AB207</f>
        <v>518.01046054455799</v>
      </c>
      <c r="AC209" s="233">
        <f>AC203-AC207</f>
        <v>518.01046054455799</v>
      </c>
      <c r="AD209" s="43"/>
    </row>
    <row r="210" spans="1:30" x14ac:dyDescent="0.25">
      <c r="A210" s="33"/>
      <c r="B210" s="33"/>
      <c r="C210" s="33"/>
      <c r="G210" s="38"/>
      <c r="H210" s="38"/>
      <c r="I210" s="38"/>
      <c r="J210" s="38"/>
      <c r="K210" s="38"/>
      <c r="L210" s="38"/>
      <c r="M210" s="38"/>
      <c r="N210" s="38"/>
      <c r="O210" s="38"/>
      <c r="P210" s="38"/>
      <c r="Q210" s="38"/>
      <c r="R210" s="38"/>
      <c r="S210" s="38"/>
      <c r="T210" s="38"/>
      <c r="U210" s="38"/>
      <c r="V210" s="38"/>
      <c r="W210" s="38"/>
      <c r="X210" s="43"/>
      <c r="Y210" s="38"/>
      <c r="Z210" s="43"/>
      <c r="AA210" s="43"/>
      <c r="AB210" s="43"/>
      <c r="AC210" s="43"/>
      <c r="AD210" s="43"/>
    </row>
    <row r="211" spans="1:30" x14ac:dyDescent="0.25">
      <c r="A211" s="234" t="s">
        <v>103</v>
      </c>
      <c r="B211" s="101"/>
      <c r="C211" s="101"/>
      <c r="G211" s="38"/>
      <c r="H211" s="614">
        <f t="shared" ref="H211:P211" si="64">H189/H122</f>
        <v>433.29533308141595</v>
      </c>
      <c r="I211" s="614">
        <f t="shared" si="64"/>
        <v>444.2903984988107</v>
      </c>
      <c r="J211" s="613">
        <f t="shared" si="64"/>
        <v>453.93809316454099</v>
      </c>
      <c r="K211" s="613">
        <f t="shared" si="64"/>
        <v>453.89723346208689</v>
      </c>
      <c r="L211" s="614">
        <f t="shared" si="64"/>
        <v>466.78468128235659</v>
      </c>
      <c r="M211" s="614">
        <f t="shared" si="64"/>
        <v>474.89070621943551</v>
      </c>
      <c r="N211" s="613">
        <f t="shared" si="64"/>
        <v>424.15054763527121</v>
      </c>
      <c r="O211" s="613">
        <f t="shared" si="64"/>
        <v>445.99552269749341</v>
      </c>
      <c r="P211" s="613">
        <f t="shared" si="64"/>
        <v>456.36384210256995</v>
      </c>
      <c r="Q211" s="613">
        <f t="shared" ref="Q211:R211" si="65">Q189/Q122</f>
        <v>444.53251704033778</v>
      </c>
      <c r="R211" s="629">
        <f t="shared" si="65"/>
        <v>458.11608420834131</v>
      </c>
      <c r="S211" s="38"/>
      <c r="T211" s="629">
        <f>T118</f>
        <v>445.99552269749341</v>
      </c>
      <c r="U211" s="629">
        <f>U118</f>
        <v>456.36384210256995</v>
      </c>
      <c r="V211" s="629">
        <f>V118</f>
        <v>444.53251704033778</v>
      </c>
      <c r="W211" s="629">
        <f>W118</f>
        <v>458.11608420834131</v>
      </c>
      <c r="X211" s="43"/>
      <c r="Y211" s="629">
        <f>$T$122/$Y$122*T211+$U$122/$Y$122*U211+$V$122/$Y$122*V211+$W$122/$Y$122*W211</f>
        <v>451.22878132978121</v>
      </c>
      <c r="Z211" s="629">
        <f>Z118</f>
        <v>451.22878132978121</v>
      </c>
      <c r="AA211" s="629">
        <f>AA118</f>
        <v>451.22878132978121</v>
      </c>
      <c r="AB211" s="629">
        <f>AB118</f>
        <v>451.22878132978121</v>
      </c>
      <c r="AC211" s="629">
        <f>AC118</f>
        <v>451.22878132978121</v>
      </c>
      <c r="AD211" s="43"/>
    </row>
    <row r="212" spans="1:30" x14ac:dyDescent="0.25">
      <c r="A212" s="235" t="s">
        <v>104</v>
      </c>
      <c r="B212" s="101"/>
      <c r="C212" s="101"/>
      <c r="G212" s="38"/>
      <c r="H212" s="614"/>
      <c r="I212" s="614"/>
      <c r="J212" s="613"/>
      <c r="K212" s="613"/>
      <c r="L212" s="614"/>
      <c r="M212" s="614"/>
      <c r="N212" s="613"/>
      <c r="O212" s="613"/>
      <c r="P212" s="613"/>
      <c r="Q212" s="613"/>
      <c r="R212" s="629"/>
      <c r="S212" s="38"/>
      <c r="T212" s="629"/>
      <c r="U212" s="629"/>
      <c r="V212" s="629"/>
      <c r="W212" s="629"/>
      <c r="X212" s="43"/>
      <c r="Y212" s="629">
        <f>$T$122/$Y$122*T212+$U$122/$Y$122*U212+$V$122/$Y$122*V212+$W$122/$Y$122*W212</f>
        <v>0</v>
      </c>
      <c r="Z212" s="629"/>
      <c r="AA212" s="629"/>
      <c r="AB212" s="629"/>
      <c r="AC212" s="629"/>
      <c r="AD212" s="43"/>
    </row>
    <row r="213" spans="1:30" x14ac:dyDescent="0.25">
      <c r="A213" s="236" t="s">
        <v>105</v>
      </c>
      <c r="B213" s="101"/>
      <c r="C213" s="101"/>
      <c r="G213" s="38"/>
      <c r="H213" s="614"/>
      <c r="I213" s="614"/>
      <c r="J213" s="613"/>
      <c r="K213" s="613"/>
      <c r="L213" s="614"/>
      <c r="M213" s="614"/>
      <c r="N213" s="613"/>
      <c r="O213" s="613"/>
      <c r="P213" s="613"/>
      <c r="Q213" s="613"/>
      <c r="R213" s="629"/>
      <c r="S213" s="38"/>
      <c r="T213" s="629"/>
      <c r="U213" s="629"/>
      <c r="V213" s="629"/>
      <c r="W213" s="629"/>
      <c r="X213" s="43"/>
      <c r="Y213" s="629">
        <f>$T$122/$Y$122*T213+$U$122/$Y$122*U213+$V$122/$Y$122*V213+$W$122/$Y$122*W213</f>
        <v>0</v>
      </c>
      <c r="Z213" s="629"/>
      <c r="AA213" s="629"/>
      <c r="AB213" s="629"/>
      <c r="AC213" s="629"/>
      <c r="AD213" s="43"/>
    </row>
    <row r="214" spans="1:30" x14ac:dyDescent="0.25">
      <c r="A214" s="31" t="s">
        <v>106</v>
      </c>
      <c r="G214" s="38"/>
      <c r="H214" s="241">
        <f t="shared" ref="H214:R214" si="66">H192/H122</f>
        <v>31.455674559785201</v>
      </c>
      <c r="I214" s="241">
        <f t="shared" si="66"/>
        <v>31.588528973770117</v>
      </c>
      <c r="J214" s="241">
        <f t="shared" si="66"/>
        <v>29.229687844040587</v>
      </c>
      <c r="K214" s="241">
        <f t="shared" si="66"/>
        <v>31.142680737374913</v>
      </c>
      <c r="L214" s="241">
        <f t="shared" si="66"/>
        <v>32.286389733198249</v>
      </c>
      <c r="M214" s="241">
        <f t="shared" si="66"/>
        <v>37.151784613035282</v>
      </c>
      <c r="N214" s="241">
        <f t="shared" si="66"/>
        <v>33.823262246757736</v>
      </c>
      <c r="O214" s="241">
        <f t="shared" si="66"/>
        <v>36.216206682677182</v>
      </c>
      <c r="P214" s="241">
        <f t="shared" si="66"/>
        <v>42.831992141750725</v>
      </c>
      <c r="Q214" s="241">
        <f t="shared" si="66"/>
        <v>34.513656824195401</v>
      </c>
      <c r="R214" s="241">
        <f t="shared" si="66"/>
        <v>33.276842089476133</v>
      </c>
      <c r="S214" s="38"/>
      <c r="T214" s="241">
        <f>T121</f>
        <v>36.216206682677182</v>
      </c>
      <c r="U214" s="241">
        <f>U121</f>
        <v>42.831992141750725</v>
      </c>
      <c r="V214" s="241">
        <f>V121</f>
        <v>34.513656824195401</v>
      </c>
      <c r="W214" s="241">
        <f>W121</f>
        <v>33.276842089476133</v>
      </c>
      <c r="X214" s="43"/>
      <c r="Y214" s="232">
        <f>$T$122/$Y$122*T214+$U$122/$Y$122*U214+$V$122/$Y$122*V214+$W$122/$Y$122*W214</f>
        <v>36.72983644121512</v>
      </c>
      <c r="Z214" s="241">
        <f>Z121</f>
        <v>36.709674434524864</v>
      </c>
      <c r="AA214" s="241">
        <f>AA121</f>
        <v>36.709674434524864</v>
      </c>
      <c r="AB214" s="241">
        <f>AB121</f>
        <v>36.709674434524864</v>
      </c>
      <c r="AC214" s="241">
        <f>AC121</f>
        <v>36.709674434524864</v>
      </c>
      <c r="AD214" s="43"/>
    </row>
    <row r="215" spans="1:30" x14ac:dyDescent="0.25">
      <c r="A215" s="33" t="s">
        <v>107</v>
      </c>
      <c r="B215" s="33"/>
      <c r="C215" s="33"/>
      <c r="G215" s="38"/>
      <c r="H215" s="233">
        <f t="shared" ref="H215:R215" si="67">SUM(H211:H214)</f>
        <v>464.75100764120117</v>
      </c>
      <c r="I215" s="233">
        <f t="shared" si="67"/>
        <v>475.87892747258081</v>
      </c>
      <c r="J215" s="233">
        <f t="shared" si="67"/>
        <v>483.16778100858158</v>
      </c>
      <c r="K215" s="233">
        <f t="shared" si="67"/>
        <v>485.0399141994618</v>
      </c>
      <c r="L215" s="233">
        <f t="shared" si="67"/>
        <v>499.07107101555482</v>
      </c>
      <c r="M215" s="233">
        <f t="shared" si="67"/>
        <v>512.04249083247078</v>
      </c>
      <c r="N215" s="233">
        <f t="shared" si="67"/>
        <v>457.97380988202895</v>
      </c>
      <c r="O215" s="233">
        <f t="shared" si="67"/>
        <v>482.2117293801706</v>
      </c>
      <c r="P215" s="233">
        <f t="shared" si="67"/>
        <v>499.19583424432068</v>
      </c>
      <c r="Q215" s="233">
        <f t="shared" si="67"/>
        <v>479.04617386453316</v>
      </c>
      <c r="R215" s="233">
        <f t="shared" si="67"/>
        <v>491.39292629781744</v>
      </c>
      <c r="S215" s="38"/>
      <c r="T215" s="233">
        <f>SUM(T211:T214)</f>
        <v>482.2117293801706</v>
      </c>
      <c r="U215" s="233">
        <f>SUM(U211:U214)</f>
        <v>499.19583424432068</v>
      </c>
      <c r="V215" s="233">
        <f>SUM(V211:V214)</f>
        <v>479.04617386453316</v>
      </c>
      <c r="W215" s="233">
        <f>SUM(W211:W214)</f>
        <v>491.39292629781744</v>
      </c>
      <c r="X215" s="43"/>
      <c r="Y215" s="233">
        <f>SUM(Y211:Y214)</f>
        <v>487.95861777099634</v>
      </c>
      <c r="Z215" s="233">
        <f>SUM(Z211:Z214)</f>
        <v>487.93845576430607</v>
      </c>
      <c r="AA215" s="233">
        <f>SUM(AA211:AA214)</f>
        <v>487.93845576430607</v>
      </c>
      <c r="AB215" s="233">
        <f>SUM(AB211:AB214)</f>
        <v>487.93845576430607</v>
      </c>
      <c r="AC215" s="233">
        <f>SUM(AC211:AC214)</f>
        <v>487.93845576430607</v>
      </c>
      <c r="AD215" s="43"/>
    </row>
    <row r="216" spans="1:30" x14ac:dyDescent="0.25">
      <c r="A216" s="33"/>
      <c r="B216" s="33"/>
      <c r="C216" s="33"/>
      <c r="G216" s="38"/>
      <c r="H216" s="38"/>
      <c r="I216" s="38"/>
      <c r="J216" s="38"/>
      <c r="K216" s="38"/>
      <c r="L216" s="38"/>
      <c r="M216" s="38"/>
      <c r="N216" s="38"/>
      <c r="O216" s="38"/>
      <c r="P216" s="38"/>
      <c r="Q216" s="38"/>
      <c r="R216" s="38"/>
      <c r="S216" s="38"/>
      <c r="T216" s="38"/>
      <c r="U216" s="38"/>
      <c r="V216" s="38"/>
      <c r="W216" s="38"/>
      <c r="X216" s="43"/>
      <c r="Y216" s="38"/>
      <c r="Z216" s="43"/>
      <c r="AA216" s="43"/>
      <c r="AB216" s="43"/>
      <c r="AC216" s="43"/>
      <c r="AD216" s="43"/>
    </row>
    <row r="217" spans="1:30" x14ac:dyDescent="0.25">
      <c r="A217" s="33" t="s">
        <v>8655</v>
      </c>
      <c r="B217" s="33"/>
      <c r="C217" s="33"/>
      <c r="G217" s="38"/>
      <c r="H217" s="233">
        <f t="shared" ref="H217:R217" si="68">H209-H215</f>
        <v>43.710673183960068</v>
      </c>
      <c r="I217" s="233">
        <f t="shared" si="68"/>
        <v>23.485365606667528</v>
      </c>
      <c r="J217" s="233">
        <f t="shared" si="68"/>
        <v>-30.848861283643998</v>
      </c>
      <c r="K217" s="233">
        <f t="shared" si="68"/>
        <v>-25.336844827991627</v>
      </c>
      <c r="L217" s="233">
        <f t="shared" si="68"/>
        <v>-11.950737740144064</v>
      </c>
      <c r="M217" s="233">
        <f t="shared" si="68"/>
        <v>-27.27243306850869</v>
      </c>
      <c r="N217" s="233">
        <f t="shared" si="68"/>
        <v>-15.728602520625486</v>
      </c>
      <c r="O217" s="233">
        <f t="shared" si="68"/>
        <v>-51.11564452377911</v>
      </c>
      <c r="P217" s="233">
        <f t="shared" si="68"/>
        <v>-51.087244762662465</v>
      </c>
      <c r="Q217" s="233">
        <f t="shared" si="68"/>
        <v>-30.351875756623201</v>
      </c>
      <c r="R217" s="233">
        <f t="shared" si="68"/>
        <v>-60.826729492396566</v>
      </c>
      <c r="S217" s="38"/>
      <c r="T217" s="233">
        <f>T209-T215</f>
        <v>26.061142079408455</v>
      </c>
      <c r="U217" s="233">
        <f>U209-U215</f>
        <v>27.082559918327604</v>
      </c>
      <c r="V217" s="233">
        <f>V209-V215</f>
        <v>48.786958310559555</v>
      </c>
      <c r="W217" s="233">
        <f>W209-W215</f>
        <v>17.970700067401935</v>
      </c>
      <c r="X217" s="43"/>
      <c r="Y217" s="233">
        <f>Y209-Y215</f>
        <v>30.051842773561646</v>
      </c>
      <c r="Z217" s="233">
        <f>Z209-Z215</f>
        <v>30.072004780251916</v>
      </c>
      <c r="AA217" s="233">
        <f>AA209-AA215</f>
        <v>30.072004780251916</v>
      </c>
      <c r="AB217" s="233">
        <f>AB209-AB215</f>
        <v>30.072004780251916</v>
      </c>
      <c r="AC217" s="233">
        <f>AC209-AC215</f>
        <v>30.072004780251916</v>
      </c>
      <c r="AD217" s="43"/>
    </row>
    <row r="218" spans="1:30" x14ac:dyDescent="0.25">
      <c r="A218" s="221" t="s">
        <v>8659</v>
      </c>
      <c r="B218" s="221"/>
      <c r="C218" s="221"/>
      <c r="G218" s="38"/>
      <c r="H218" s="232">
        <f t="shared" ref="H218:R218" si="69">H214</f>
        <v>31.455674559785201</v>
      </c>
      <c r="I218" s="232">
        <f t="shared" si="69"/>
        <v>31.588528973770117</v>
      </c>
      <c r="J218" s="232">
        <f t="shared" si="69"/>
        <v>29.229687844040587</v>
      </c>
      <c r="K218" s="232">
        <f t="shared" si="69"/>
        <v>31.142680737374913</v>
      </c>
      <c r="L218" s="232">
        <f t="shared" si="69"/>
        <v>32.286389733198249</v>
      </c>
      <c r="M218" s="232">
        <f t="shared" si="69"/>
        <v>37.151784613035282</v>
      </c>
      <c r="N218" s="232">
        <f t="shared" si="69"/>
        <v>33.823262246757736</v>
      </c>
      <c r="O218" s="232">
        <f t="shared" si="69"/>
        <v>36.216206682677182</v>
      </c>
      <c r="P218" s="232">
        <f t="shared" si="69"/>
        <v>42.831992141750725</v>
      </c>
      <c r="Q218" s="232">
        <f t="shared" si="69"/>
        <v>34.513656824195401</v>
      </c>
      <c r="R218" s="232">
        <f t="shared" si="69"/>
        <v>33.276842089476133</v>
      </c>
      <c r="S218" s="38"/>
      <c r="T218" s="232">
        <f>T214</f>
        <v>36.216206682677182</v>
      </c>
      <c r="U218" s="232">
        <f>U214</f>
        <v>42.831992141750725</v>
      </c>
      <c r="V218" s="232">
        <f>V214</f>
        <v>34.513656824195401</v>
      </c>
      <c r="W218" s="232">
        <f>W214</f>
        <v>33.276842089476133</v>
      </c>
      <c r="X218" s="43"/>
      <c r="Y218" s="232">
        <f>$T$122/$Y$122*T218+$U$122/$Y$122*U218+$V$122/$Y$122*V218+$W$122/$Y$122*W218</f>
        <v>36.72983644121512</v>
      </c>
      <c r="Z218" s="232">
        <f>Z121</f>
        <v>36.709674434524864</v>
      </c>
      <c r="AA218" s="232">
        <f>AA121</f>
        <v>36.709674434524864</v>
      </c>
      <c r="AB218" s="232">
        <f>AB121</f>
        <v>36.709674434524864</v>
      </c>
      <c r="AC218" s="232">
        <f>AC121</f>
        <v>36.709674434524864</v>
      </c>
      <c r="AD218" s="43"/>
    </row>
    <row r="219" spans="1:30" x14ac:dyDescent="0.25">
      <c r="A219" s="33" t="s">
        <v>8660</v>
      </c>
      <c r="B219" s="33"/>
      <c r="C219" s="33"/>
      <c r="G219" s="38"/>
      <c r="H219" s="98">
        <f t="shared" ref="H219:R219" si="70">SUM(H217:H218)</f>
        <v>75.166347743745263</v>
      </c>
      <c r="I219" s="98">
        <f t="shared" si="70"/>
        <v>55.073894580437646</v>
      </c>
      <c r="J219" s="98">
        <f t="shared" si="70"/>
        <v>-1.6191734396034114</v>
      </c>
      <c r="K219" s="98">
        <f t="shared" si="70"/>
        <v>5.805835909383287</v>
      </c>
      <c r="L219" s="98">
        <f t="shared" si="70"/>
        <v>20.335651993054185</v>
      </c>
      <c r="M219" s="98">
        <f t="shared" si="70"/>
        <v>9.8793515445265925</v>
      </c>
      <c r="N219" s="98">
        <f t="shared" si="70"/>
        <v>18.094659726132249</v>
      </c>
      <c r="O219" s="98">
        <f t="shared" si="70"/>
        <v>-14.899437841101928</v>
      </c>
      <c r="P219" s="98">
        <f t="shared" si="70"/>
        <v>-8.2552526209117403</v>
      </c>
      <c r="Q219" s="98">
        <f t="shared" si="70"/>
        <v>4.1617810675721998</v>
      </c>
      <c r="R219" s="98">
        <f t="shared" si="70"/>
        <v>-27.549887402920433</v>
      </c>
      <c r="S219" s="38"/>
      <c r="T219" s="98">
        <f>SUM(T217:T218)</f>
        <v>62.277348762085637</v>
      </c>
      <c r="U219" s="98">
        <f>SUM(U217:U218)</f>
        <v>69.914552060078336</v>
      </c>
      <c r="V219" s="98">
        <f>SUM(V217:V218)</f>
        <v>83.300615134754963</v>
      </c>
      <c r="W219" s="98">
        <f>SUM(W217:W218)</f>
        <v>51.247542156878069</v>
      </c>
      <c r="X219" s="43"/>
      <c r="Y219" s="98">
        <f>SUM(Y217:Y218)</f>
        <v>66.781679214776773</v>
      </c>
      <c r="Z219" s="98">
        <f>SUM(Z217:Z218)</f>
        <v>66.781679214776773</v>
      </c>
      <c r="AA219" s="98">
        <f>SUM(AA217:AA218)</f>
        <v>66.781679214776773</v>
      </c>
      <c r="AB219" s="98">
        <f>SUM(AB217:AB218)</f>
        <v>66.781679214776773</v>
      </c>
      <c r="AC219" s="98">
        <f>SUM(AC217:AC218)</f>
        <v>66.781679214776773</v>
      </c>
      <c r="AD219" s="43"/>
    </row>
    <row r="220" spans="1:30" collapsed="1" x14ac:dyDescent="0.25">
      <c r="A220" s="33"/>
      <c r="B220" s="33"/>
      <c r="C220" s="33"/>
      <c r="G220" s="38"/>
      <c r="H220" s="38"/>
      <c r="I220" s="38"/>
      <c r="J220" s="38"/>
      <c r="K220" s="38"/>
      <c r="L220" s="38"/>
      <c r="M220" s="38"/>
      <c r="N220" s="38"/>
      <c r="O220" s="38"/>
      <c r="P220" s="38"/>
      <c r="Q220" s="38"/>
      <c r="R220" s="38"/>
      <c r="S220" s="38"/>
      <c r="T220" s="38"/>
      <c r="U220" s="38"/>
      <c r="V220" s="38"/>
      <c r="W220" s="38"/>
      <c r="X220" s="43"/>
      <c r="Y220" s="43"/>
      <c r="Z220" s="43"/>
      <c r="AA220" s="43"/>
      <c r="AB220" s="43"/>
      <c r="AC220" s="43"/>
      <c r="AD220" s="43"/>
    </row>
    <row r="221" spans="1:30" x14ac:dyDescent="0.25">
      <c r="A221" s="39" t="s">
        <v>8763</v>
      </c>
      <c r="B221" s="206"/>
      <c r="C221" s="206"/>
      <c r="D221" s="40"/>
      <c r="E221" s="40"/>
      <c r="F221" s="40"/>
      <c r="G221" s="40"/>
      <c r="H221" s="40"/>
      <c r="I221" s="40"/>
      <c r="J221" s="40"/>
      <c r="K221" s="40"/>
      <c r="L221" s="40"/>
      <c r="M221" s="40"/>
      <c r="N221" s="40"/>
      <c r="O221" s="40"/>
      <c r="P221" s="40"/>
      <c r="Q221" s="40"/>
      <c r="R221" s="40"/>
      <c r="S221" s="41"/>
      <c r="T221" s="41"/>
      <c r="U221" s="41"/>
      <c r="V221" s="41"/>
      <c r="W221" s="41"/>
      <c r="X221" s="41"/>
      <c r="Y221" s="41"/>
      <c r="Z221" s="41"/>
      <c r="AA221" s="41"/>
      <c r="AB221" s="41"/>
      <c r="AC221" s="42"/>
    </row>
    <row r="222" spans="1:30" s="82" customFormat="1" x14ac:dyDescent="0.25">
      <c r="W222" s="109"/>
      <c r="X222" s="101"/>
      <c r="Y222" s="101"/>
      <c r="Z222" s="101"/>
      <c r="AA222" s="101"/>
      <c r="AB222" s="101"/>
      <c r="AC222" s="101"/>
      <c r="AD222" s="101"/>
    </row>
    <row r="223" spans="1:30" s="82" customFormat="1" x14ac:dyDescent="0.25">
      <c r="F223" s="101"/>
      <c r="I223" s="411" t="str">
        <f>"If management's current turnaround strategy were successful, Regis Corp. would likely produce $"&amp;P238&amp;"m-$"&amp;R238&amp;"m EBITDA each year…"</f>
        <v>If management's current turnaround strategy were successful, Regis Corp. would likely produce $210m-$260m EBITDA each year…</v>
      </c>
      <c r="J223" s="412"/>
      <c r="K223" s="412"/>
      <c r="L223" s="412"/>
      <c r="M223" s="412"/>
      <c r="N223" s="412"/>
      <c r="O223" s="412"/>
      <c r="P223" s="412"/>
      <c r="Q223" s="412"/>
      <c r="R223" s="413"/>
      <c r="W223" s="109"/>
      <c r="X223" s="101"/>
      <c r="Y223" s="101"/>
      <c r="Z223" s="101"/>
      <c r="AA223" s="101"/>
      <c r="AB223" s="101"/>
      <c r="AC223" s="101"/>
      <c r="AD223" s="101"/>
    </row>
    <row r="224" spans="1:30" s="82" customFormat="1" ht="10.5" customHeight="1" x14ac:dyDescent="0.25">
      <c r="F224" s="101"/>
      <c r="I224" s="281"/>
      <c r="J224" s="170"/>
      <c r="K224" s="282"/>
      <c r="L224" s="282"/>
      <c r="M224" s="282"/>
      <c r="N224" s="282"/>
      <c r="O224" s="282"/>
      <c r="P224" s="283"/>
      <c r="Q224" s="171"/>
      <c r="R224" s="190"/>
      <c r="W224" s="109"/>
      <c r="X224" s="101"/>
      <c r="Y224" s="101"/>
      <c r="Z224" s="101"/>
      <c r="AA224" s="101"/>
      <c r="AB224" s="101"/>
      <c r="AC224" s="101"/>
      <c r="AD224" s="101"/>
    </row>
    <row r="225" spans="1:30" s="82" customFormat="1" x14ac:dyDescent="0.25">
      <c r="F225" s="101"/>
      <c r="I225" s="284" t="str">
        <f>"Regis Corp. generated $"&amp;P225&amp;"m in adjusted EBIT in the last 12 months"</f>
        <v>Regis Corp. generated $-4m in adjusted EBIT in the last 12 months</v>
      </c>
      <c r="J225" s="167"/>
      <c r="K225" s="101"/>
      <c r="L225" s="101"/>
      <c r="M225" s="101"/>
      <c r="N225" s="101"/>
      <c r="O225" s="101"/>
      <c r="P225" s="289">
        <f>ROUND(SUM('Regis Corp. model'!M85:P85),0)</f>
        <v>-4</v>
      </c>
      <c r="Q225" s="290"/>
      <c r="R225" s="291"/>
      <c r="W225" s="109"/>
      <c r="X225" s="101"/>
      <c r="Y225" s="101"/>
      <c r="Z225" s="101"/>
      <c r="AA225" s="101"/>
      <c r="AB225" s="101"/>
      <c r="AC225" s="101"/>
      <c r="AD225" s="101"/>
    </row>
    <row r="226" spans="1:30" s="82" customFormat="1" x14ac:dyDescent="0.25">
      <c r="F226" s="101"/>
      <c r="I226" s="285"/>
      <c r="J226" s="167"/>
      <c r="K226" s="101"/>
      <c r="L226" s="101"/>
      <c r="M226" s="101"/>
      <c r="N226" s="101"/>
      <c r="O226" s="101"/>
      <c r="P226" s="290"/>
      <c r="Q226" s="290"/>
      <c r="R226" s="291"/>
      <c r="W226" s="109"/>
      <c r="X226" s="101"/>
      <c r="Y226" s="101"/>
      <c r="Z226" s="101"/>
      <c r="AA226" s="101"/>
      <c r="AB226" s="101"/>
      <c r="AC226" s="101"/>
      <c r="AD226" s="101"/>
    </row>
    <row r="227" spans="1:30" s="82" customFormat="1" x14ac:dyDescent="0.25">
      <c r="F227" s="101"/>
      <c r="I227" s="286" t="str">
        <f>"If the turnaround succeeds, annual EBIT would likely grow by $"&amp;P227&amp;"m-$"&amp;R227&amp;"m"</f>
        <v>If the turnaround succeeds, annual EBIT would likely grow by $114m-$164m</v>
      </c>
      <c r="J227" s="167"/>
      <c r="K227" s="101"/>
      <c r="L227" s="101"/>
      <c r="M227" s="101"/>
      <c r="N227" s="101"/>
      <c r="O227" s="101"/>
      <c r="P227" s="68">
        <f>ROUND(P228-$P$225,0)</f>
        <v>114</v>
      </c>
      <c r="Q227" s="68">
        <f>ROUND(Q228-$P$225,0)</f>
        <v>139</v>
      </c>
      <c r="R227" s="292">
        <f>ROUND(R228-$P$225,0)</f>
        <v>164</v>
      </c>
      <c r="W227" s="49"/>
      <c r="X227" s="101"/>
      <c r="Y227" s="101"/>
      <c r="Z227" s="101"/>
      <c r="AA227" s="101"/>
      <c r="AB227" s="101"/>
      <c r="AC227" s="101"/>
      <c r="AD227" s="101"/>
    </row>
    <row r="228" spans="1:30" s="82" customFormat="1" x14ac:dyDescent="0.25">
      <c r="F228" s="101"/>
      <c r="I228" s="174" t="str">
        <f>"And EBIT would reach an annual run-rate of $"&amp;P228&amp;"m-$"&amp;R228&amp;"m"</f>
        <v>And EBIT would reach an annual run-rate of $110m-$160m</v>
      </c>
      <c r="J228" s="167"/>
      <c r="K228" s="131"/>
      <c r="L228" s="131"/>
      <c r="M228" s="131"/>
      <c r="N228" s="131"/>
      <c r="O228" s="131"/>
      <c r="P228" s="293">
        <f>ROUND(P235*$P$234,0)</f>
        <v>110</v>
      </c>
      <c r="Q228" s="293">
        <f>ROUND(Q235*$P$234,0)</f>
        <v>135</v>
      </c>
      <c r="R228" s="294">
        <f>ROUND(R235*$P$234,0)</f>
        <v>160</v>
      </c>
      <c r="W228" s="49"/>
      <c r="X228" s="101"/>
      <c r="Y228" s="101"/>
      <c r="Z228" s="101"/>
      <c r="AA228" s="101"/>
      <c r="AB228" s="101"/>
      <c r="AC228" s="101"/>
      <c r="AD228" s="101"/>
    </row>
    <row r="229" spans="1:30" s="82" customFormat="1" x14ac:dyDescent="0.25">
      <c r="F229" s="101"/>
      <c r="I229" s="174"/>
      <c r="J229" s="167"/>
      <c r="K229" s="131"/>
      <c r="L229" s="131"/>
      <c r="M229" s="131"/>
      <c r="N229" s="131"/>
      <c r="O229" s="131"/>
      <c r="P229" s="293"/>
      <c r="Q229" s="293"/>
      <c r="R229" s="294"/>
      <c r="W229" s="49"/>
      <c r="X229" s="101"/>
      <c r="Y229" s="101"/>
      <c r="Z229" s="101"/>
      <c r="AA229" s="101"/>
      <c r="AB229" s="101"/>
      <c r="AC229" s="101"/>
      <c r="AD229" s="101"/>
    </row>
    <row r="230" spans="1:30" s="82" customFormat="1" x14ac:dyDescent="0.25">
      <c r="A230" s="395"/>
      <c r="B230" s="395"/>
      <c r="F230" s="101"/>
      <c r="I230" s="399" t="str">
        <f>"For reference, a 1% increase in company-wide sales adds approx. $"&amp;P230&amp;"m in EBIT…"</f>
        <v>For reference, a 1% increase in company-wide sales adds approx. $8.5m in EBIT…</v>
      </c>
      <c r="J230" s="167"/>
      <c r="K230" s="131"/>
      <c r="L230" s="131"/>
      <c r="M230" s="131"/>
      <c r="N230" s="131"/>
      <c r="O230" s="131"/>
      <c r="P230" s="396">
        <v>8.5</v>
      </c>
      <c r="Q230" s="293"/>
      <c r="R230" s="294"/>
      <c r="W230" s="49"/>
      <c r="X230" s="101"/>
      <c r="Y230" s="101"/>
      <c r="Z230" s="101"/>
      <c r="AA230" s="101"/>
      <c r="AB230" s="101"/>
      <c r="AC230" s="101"/>
      <c r="AD230" s="101"/>
    </row>
    <row r="231" spans="1:30" s="82" customFormat="1" x14ac:dyDescent="0.25">
      <c r="F231" s="101"/>
      <c r="I231" s="399" t="str">
        <f>"…so a $"&amp;P227&amp;"m-$"&amp;R227&amp;"m increase in EBIT implies aggregate comp salon sales growth of "&amp;P231&amp;"-"&amp;R231&amp;"…"</f>
        <v>…so a $114m-$164m increase in EBIT implies aggregate comp salon sales growth of 13%-19%…</v>
      </c>
      <c r="J231" s="167"/>
      <c r="K231" s="131"/>
      <c r="L231" s="131"/>
      <c r="M231" s="131"/>
      <c r="N231" s="131"/>
      <c r="O231" s="131"/>
      <c r="P231" s="397" t="str">
        <f>ROUND(P227/$P$230,0)&amp;"%"</f>
        <v>13%</v>
      </c>
      <c r="Q231" s="397" t="str">
        <f>ROUND(Q227/$P$230,0)&amp;"%"</f>
        <v>16%</v>
      </c>
      <c r="R231" s="398" t="str">
        <f>ROUND(R227/$P$230,0)&amp;"%"</f>
        <v>19%</v>
      </c>
      <c r="W231" s="49"/>
      <c r="X231" s="101"/>
      <c r="Y231" s="101"/>
      <c r="Z231" s="101"/>
      <c r="AA231" s="101"/>
      <c r="AB231" s="101"/>
      <c r="AC231" s="101"/>
      <c r="AD231" s="101"/>
    </row>
    <row r="232" spans="1:30" s="82" customFormat="1" x14ac:dyDescent="0.25">
      <c r="F232" s="101"/>
      <c r="I232" s="409" t="s">
        <v>8735</v>
      </c>
      <c r="J232" s="167"/>
      <c r="K232" s="131"/>
      <c r="L232" s="131"/>
      <c r="M232" s="131"/>
      <c r="N232" s="131"/>
      <c r="O232" s="131"/>
      <c r="P232" s="293"/>
      <c r="Q232" s="293"/>
      <c r="R232" s="294"/>
      <c r="W232" s="49"/>
      <c r="X232" s="101"/>
      <c r="Y232" s="101"/>
      <c r="Z232" s="101"/>
      <c r="AA232" s="101"/>
      <c r="AB232" s="101"/>
      <c r="AC232" s="101"/>
      <c r="AD232" s="101"/>
    </row>
    <row r="233" spans="1:30" s="82" customFormat="1" x14ac:dyDescent="0.25">
      <c r="F233" s="101"/>
      <c r="I233" s="286"/>
      <c r="J233" s="167"/>
      <c r="K233" s="131"/>
      <c r="L233" s="131"/>
      <c r="M233" s="131"/>
      <c r="N233" s="131"/>
      <c r="O233" s="131"/>
      <c r="P233" s="293"/>
      <c r="Q233" s="293"/>
      <c r="R233" s="294"/>
      <c r="W233" s="49"/>
      <c r="X233" s="101"/>
      <c r="Y233" s="101"/>
      <c r="Z233" s="101"/>
      <c r="AA233" s="101"/>
      <c r="AB233" s="101"/>
      <c r="AC233" s="101"/>
      <c r="AD233" s="101"/>
    </row>
    <row r="234" spans="1:30" s="82" customFormat="1" x14ac:dyDescent="0.25">
      <c r="F234" s="101"/>
      <c r="I234" s="174" t="str">
        <f>"Given current Regis Corp. invested capital* of $"&amp;P234&amp;"m…"</f>
        <v>Given current Regis Corp. invested capital* of $1227m…</v>
      </c>
      <c r="J234" s="167"/>
      <c r="K234" s="131"/>
      <c r="L234" s="131"/>
      <c r="M234" s="131"/>
      <c r="N234" s="131"/>
      <c r="O234" s="131"/>
      <c r="P234" s="295">
        <f>ROUND($E$239-$E$240,0)</f>
        <v>1227</v>
      </c>
      <c r="Q234" s="295">
        <f>ROUND($E$239-$E$240,0)</f>
        <v>1227</v>
      </c>
      <c r="R234" s="296">
        <f>ROUND($E$239-$E$240,0)</f>
        <v>1227</v>
      </c>
      <c r="W234" s="49"/>
      <c r="X234" s="101"/>
      <c r="Y234" s="101"/>
      <c r="Z234" s="101"/>
      <c r="AA234" s="101"/>
      <c r="AB234" s="101"/>
      <c r="AC234" s="101"/>
      <c r="AD234" s="101"/>
    </row>
    <row r="235" spans="1:30" s="82" customFormat="1" x14ac:dyDescent="0.25">
      <c r="C235" s="156">
        <f>ROUND(P235*100,0)</f>
        <v>9</v>
      </c>
      <c r="D235" s="156">
        <f>ROUND(Q235*100,0)</f>
        <v>11</v>
      </c>
      <c r="E235" s="156">
        <f>ROUND(R235*100,0)</f>
        <v>13</v>
      </c>
      <c r="F235" s="101"/>
      <c r="I235" s="174" t="str">
        <f>"…future EBIT of $"&amp;P228&amp;"m-$"&amp;R228&amp;"m would correspond to a competitive pre-tax ROIC of "&amp;C235&amp;"%-"&amp;E235&amp;"%"</f>
        <v>…future EBIT of $110m-$160m would correspond to a competitive pre-tax ROIC of 9%-13%</v>
      </c>
      <c r="J235" s="167"/>
      <c r="K235" s="101"/>
      <c r="L235" s="101"/>
      <c r="M235" s="101"/>
      <c r="N235" s="101"/>
      <c r="O235" s="101"/>
      <c r="P235" s="422">
        <v>0.09</v>
      </c>
      <c r="Q235" s="422">
        <v>0.11</v>
      </c>
      <c r="R235" s="423">
        <v>0.13</v>
      </c>
      <c r="W235" s="49"/>
      <c r="X235" s="101"/>
      <c r="Y235" s="101"/>
      <c r="Z235" s="101"/>
      <c r="AA235" s="101"/>
      <c r="AB235" s="101"/>
      <c r="AC235" s="101"/>
      <c r="AD235" s="101"/>
    </row>
    <row r="236" spans="1:30" s="82" customFormat="1" ht="10.5" customHeight="1" x14ac:dyDescent="0.25">
      <c r="F236" s="101"/>
      <c r="I236" s="287"/>
      <c r="J236" s="167"/>
      <c r="K236" s="101"/>
      <c r="L236" s="101"/>
      <c r="M236" s="101"/>
      <c r="N236" s="101"/>
      <c r="O236" s="101"/>
      <c r="P236" s="101"/>
      <c r="Q236" s="101"/>
      <c r="R236" s="288"/>
      <c r="W236" s="49"/>
      <c r="X236" s="101"/>
      <c r="Y236" s="101"/>
      <c r="Z236" s="101"/>
      <c r="AA236" s="101"/>
      <c r="AB236" s="101"/>
      <c r="AC236" s="101"/>
      <c r="AD236" s="101"/>
    </row>
    <row r="237" spans="1:30" s="82" customFormat="1" x14ac:dyDescent="0.25">
      <c r="E237" s="158"/>
      <c r="F237" s="101"/>
      <c r="I237" s="286" t="str">
        <f>"Adding $"&amp;P237&amp;"m in assumed annual depreciation and amortization..."</f>
        <v>Adding $100m in assumed annual depreciation and amortization...</v>
      </c>
      <c r="J237" s="167"/>
      <c r="K237" s="94"/>
      <c r="L237" s="94"/>
      <c r="M237" s="94"/>
      <c r="N237" s="94"/>
      <c r="O237" s="94"/>
      <c r="P237" s="438">
        <v>100</v>
      </c>
      <c r="Q237" s="295">
        <f>P237</f>
        <v>100</v>
      </c>
      <c r="R237" s="296">
        <f>Q237</f>
        <v>100</v>
      </c>
      <c r="W237" s="49"/>
      <c r="X237" s="101"/>
      <c r="Y237" s="101"/>
      <c r="Z237" s="101"/>
      <c r="AA237" s="101"/>
      <c r="AB237" s="101"/>
      <c r="AC237" s="101"/>
      <c r="AD237" s="101"/>
    </row>
    <row r="238" spans="1:30" s="82" customFormat="1" x14ac:dyDescent="0.25">
      <c r="C238" s="395" t="s">
        <v>8712</v>
      </c>
      <c r="E238" s="159">
        <f>ROUND(SUM('Regis Corp. model'!$R$82:$U$82),0)</f>
        <v>97</v>
      </c>
      <c r="F238" s="101"/>
      <c r="I238" s="174" t="str">
        <f>"…the stabilized Regis enterprise would generate annual EBITDA of $"&amp;P238&amp;"m-$"&amp;R238&amp;"m"</f>
        <v>…the stabilized Regis enterprise would generate annual EBITDA of $210m-$260m</v>
      </c>
      <c r="J238" s="168"/>
      <c r="K238" s="94"/>
      <c r="L238" s="94"/>
      <c r="M238" s="94"/>
      <c r="N238" s="94"/>
      <c r="O238" s="94"/>
      <c r="P238" s="297">
        <f>P228+P237</f>
        <v>210</v>
      </c>
      <c r="Q238" s="297">
        <f>Q228+Q237</f>
        <v>235</v>
      </c>
      <c r="R238" s="298">
        <f>R228+R237</f>
        <v>260</v>
      </c>
      <c r="W238" s="49"/>
      <c r="X238" s="101"/>
      <c r="Y238" s="101"/>
      <c r="Z238" s="101"/>
      <c r="AA238" s="101"/>
      <c r="AB238" s="101"/>
      <c r="AC238" s="101"/>
      <c r="AD238" s="101"/>
    </row>
    <row r="239" spans="1:30" s="82" customFormat="1" x14ac:dyDescent="0.25">
      <c r="C239" s="157" t="s">
        <v>8637</v>
      </c>
      <c r="E239" s="159">
        <f>ROUND('Regis Corp. model'!$N$124,0)</f>
        <v>1427</v>
      </c>
      <c r="F239" s="101"/>
      <c r="I239" s="163"/>
      <c r="J239" s="138"/>
      <c r="K239" s="111"/>
      <c r="L239" s="111"/>
      <c r="M239" s="111"/>
      <c r="N239" s="111"/>
      <c r="O239" s="111"/>
      <c r="P239" s="45"/>
      <c r="Q239" s="111"/>
      <c r="R239" s="165"/>
      <c r="W239" s="49"/>
      <c r="X239" s="101"/>
      <c r="Y239" s="101"/>
      <c r="Z239" s="101"/>
      <c r="AA239" s="101"/>
      <c r="AB239" s="101"/>
      <c r="AC239" s="101"/>
      <c r="AD239" s="101"/>
    </row>
    <row r="240" spans="1:30" s="82" customFormat="1" x14ac:dyDescent="0.25">
      <c r="C240" s="277" t="s">
        <v>8690</v>
      </c>
      <c r="E240" s="127">
        <f>ROUND(SUM('Regis Corp. model'!$N$130:$N$131),0)</f>
        <v>200</v>
      </c>
      <c r="I240" s="162" t="str">
        <f>"*Invested capital of $"&amp;P234&amp;"m = $"&amp;E239&amp;"m in total assets less $"&amp;E240&amp;"m in interest-free short-term liabilities"</f>
        <v>*Invested capital of $1227m = $1427m in total assets less $200m in interest-free short-term liabilities</v>
      </c>
      <c r="J240" s="105"/>
      <c r="P240" s="49"/>
      <c r="R240" s="49"/>
      <c r="W240" s="49"/>
      <c r="X240" s="101"/>
      <c r="Y240" s="101"/>
      <c r="Z240" s="101"/>
      <c r="AA240" s="101"/>
      <c r="AB240" s="101"/>
      <c r="AC240" s="101"/>
      <c r="AD240" s="101"/>
    </row>
    <row r="241" spans="1:30" s="82" customFormat="1" x14ac:dyDescent="0.25">
      <c r="I241" s="126"/>
      <c r="J241" s="136"/>
      <c r="K241" s="101"/>
      <c r="L241" s="101"/>
      <c r="M241" s="101"/>
      <c r="N241" s="101"/>
      <c r="O241" s="101"/>
      <c r="P241" s="49"/>
      <c r="Q241" s="101"/>
      <c r="R241" s="49"/>
      <c r="W241" s="49"/>
      <c r="X241" s="101"/>
      <c r="Y241" s="101"/>
      <c r="Z241" s="101"/>
      <c r="AA241" s="101"/>
      <c r="AB241" s="101"/>
      <c r="AC241" s="101"/>
      <c r="AD241" s="101"/>
    </row>
    <row r="242" spans="1:30" s="82" customFormat="1" x14ac:dyDescent="0.25">
      <c r="A242" s="277"/>
      <c r="B242" s="277"/>
      <c r="F242" s="101"/>
      <c r="I242" s="411" t="str">
        <f>"…and if RGS traded in line with its richly valued comps or was sold in an LBO, the stock would trade up "&amp;C258&amp;"%-"&amp;E261&amp;"%"</f>
        <v>…and if RGS traded in line with its richly valued comps or was sold in an LBO, the stock would trade up 97%-241%</v>
      </c>
      <c r="J242" s="412"/>
      <c r="K242" s="412"/>
      <c r="L242" s="412"/>
      <c r="M242" s="412"/>
      <c r="N242" s="412"/>
      <c r="O242" s="412"/>
      <c r="P242" s="412"/>
      <c r="Q242" s="412"/>
      <c r="R242" s="413"/>
      <c r="W242" s="49"/>
      <c r="X242" s="101"/>
      <c r="Y242" s="101"/>
      <c r="Z242" s="101"/>
      <c r="AA242" s="101"/>
      <c r="AB242" s="101"/>
      <c r="AC242" s="101"/>
      <c r="AD242" s="101"/>
    </row>
    <row r="243" spans="1:30" s="82" customFormat="1" x14ac:dyDescent="0.25">
      <c r="F243" s="101"/>
      <c r="I243" s="188"/>
      <c r="J243" s="170"/>
      <c r="K243" s="171"/>
      <c r="L243" s="171"/>
      <c r="M243" s="171"/>
      <c r="N243" s="171"/>
      <c r="O243" s="171"/>
      <c r="P243" s="189"/>
      <c r="Q243" s="171"/>
      <c r="R243" s="190"/>
      <c r="W243" s="109"/>
      <c r="X243" s="101"/>
      <c r="Y243" s="101"/>
      <c r="Z243" s="101"/>
      <c r="AA243" s="101"/>
      <c r="AB243" s="101"/>
      <c r="AC243" s="101"/>
      <c r="AD243" s="101"/>
    </row>
    <row r="244" spans="1:30" s="82" customFormat="1" x14ac:dyDescent="0.25">
      <c r="F244" s="101"/>
      <c r="I244" s="177" t="str">
        <f>"Annual EBITDA would likely rise to $"&amp;P244&amp;"m-$"&amp;R244&amp;"m if the turnaround were successful"</f>
        <v>Annual EBITDA would likely rise to $210m-$260m if the turnaround were successful</v>
      </c>
      <c r="J244" s="137"/>
      <c r="K244" s="94"/>
      <c r="L244" s="94"/>
      <c r="M244" s="94"/>
      <c r="N244" s="94"/>
      <c r="O244" s="94"/>
      <c r="P244" s="297">
        <f>P238</f>
        <v>210</v>
      </c>
      <c r="Q244" s="297">
        <f>Q238</f>
        <v>235</v>
      </c>
      <c r="R244" s="298">
        <f>R238</f>
        <v>260</v>
      </c>
      <c r="W244" s="109"/>
      <c r="X244" s="101"/>
      <c r="Y244" s="101"/>
      <c r="Z244" s="101"/>
      <c r="AA244" s="101"/>
      <c r="AB244" s="101"/>
      <c r="AC244" s="101"/>
      <c r="AD244" s="101"/>
    </row>
    <row r="245" spans="1:30" s="82" customFormat="1" x14ac:dyDescent="0.25">
      <c r="F245" s="101"/>
      <c r="I245" s="193"/>
      <c r="J245" s="136"/>
      <c r="K245" s="101"/>
      <c r="L245" s="101"/>
      <c r="M245" s="101"/>
      <c r="N245" s="101"/>
      <c r="O245" s="101"/>
      <c r="P245" s="290"/>
      <c r="Q245" s="290"/>
      <c r="R245" s="291"/>
      <c r="W245" s="109"/>
      <c r="X245" s="101"/>
      <c r="Y245" s="101"/>
      <c r="Z245" s="101"/>
      <c r="AA245" s="101"/>
      <c r="AB245" s="101"/>
      <c r="AC245" s="101"/>
      <c r="AD245" s="101"/>
    </row>
    <row r="246" spans="1:30" s="82" customFormat="1" x14ac:dyDescent="0.25">
      <c r="F246" s="101"/>
      <c r="I246" s="177" t="str">
        <f>"If the Regis. Corp enterprise traded at a "&amp;N246&amp;"x-"&amp;N248&amp;"x multiple of EBITDA*..."</f>
        <v>If the Regis. Corp enterprise traded at a 7x-10x multiple of EBITDA*...</v>
      </c>
      <c r="J246" s="136"/>
      <c r="K246" s="101"/>
      <c r="L246" s="101"/>
      <c r="M246" s="101"/>
      <c r="N246" s="129">
        <v>7</v>
      </c>
      <c r="O246" s="101"/>
      <c r="P246" s="290">
        <f t="shared" ref="P246:R248" si="71">ROUND($N246*P$244,0)</f>
        <v>1470</v>
      </c>
      <c r="Q246" s="290">
        <f t="shared" si="71"/>
        <v>1645</v>
      </c>
      <c r="R246" s="291">
        <f t="shared" si="71"/>
        <v>1820</v>
      </c>
      <c r="W246" s="109"/>
      <c r="X246" s="101"/>
      <c r="Y246" s="101"/>
      <c r="Z246" s="101"/>
      <c r="AA246" s="101"/>
      <c r="AB246" s="101"/>
      <c r="AC246" s="101"/>
      <c r="AD246" s="101"/>
    </row>
    <row r="247" spans="1:30" s="82" customFormat="1" x14ac:dyDescent="0.25">
      <c r="F247" s="101"/>
      <c r="I247" s="177" t="str">
        <f>"…it would be valued at $"&amp;P246&amp;"m-$"&amp;R248&amp;"m"</f>
        <v>…it would be valued at $1470m-$2600m</v>
      </c>
      <c r="J247" s="136"/>
      <c r="K247" s="101"/>
      <c r="L247" s="101"/>
      <c r="M247" s="101"/>
      <c r="N247" s="129">
        <v>8</v>
      </c>
      <c r="O247" s="101"/>
      <c r="P247" s="290">
        <f t="shared" si="71"/>
        <v>1680</v>
      </c>
      <c r="Q247" s="290">
        <f t="shared" si="71"/>
        <v>1880</v>
      </c>
      <c r="R247" s="291">
        <f t="shared" si="71"/>
        <v>2080</v>
      </c>
      <c r="W247" s="109"/>
      <c r="X247" s="101"/>
      <c r="Y247" s="101"/>
      <c r="Z247" s="101"/>
      <c r="AA247" s="101"/>
      <c r="AB247" s="101"/>
      <c r="AC247" s="101"/>
      <c r="AD247" s="101"/>
    </row>
    <row r="248" spans="1:30" s="82" customFormat="1" x14ac:dyDescent="0.25">
      <c r="F248" s="101"/>
      <c r="I248" s="193"/>
      <c r="J248" s="136"/>
      <c r="K248" s="101"/>
      <c r="L248" s="101"/>
      <c r="M248" s="101"/>
      <c r="N248" s="129">
        <v>10</v>
      </c>
      <c r="O248" s="101"/>
      <c r="P248" s="290">
        <f t="shared" si="71"/>
        <v>2100</v>
      </c>
      <c r="Q248" s="290">
        <f t="shared" si="71"/>
        <v>2350</v>
      </c>
      <c r="R248" s="291">
        <f t="shared" si="71"/>
        <v>2600</v>
      </c>
      <c r="W248" s="109"/>
      <c r="X248" s="101"/>
      <c r="Y248" s="101"/>
      <c r="Z248" s="101"/>
      <c r="AA248" s="101"/>
      <c r="AB248" s="101"/>
      <c r="AC248" s="101"/>
      <c r="AD248" s="101"/>
    </row>
    <row r="249" spans="1:30" s="82" customFormat="1" x14ac:dyDescent="0.25">
      <c r="F249" s="101"/>
      <c r="I249" s="193"/>
      <c r="J249" s="136"/>
      <c r="K249" s="101"/>
      <c r="L249" s="101"/>
      <c r="M249" s="129"/>
      <c r="N249" s="129"/>
      <c r="O249" s="101"/>
      <c r="P249" s="290"/>
      <c r="Q249" s="290"/>
      <c r="R249" s="291"/>
      <c r="W249" s="109"/>
      <c r="X249" s="101"/>
      <c r="Y249" s="101"/>
      <c r="Z249" s="101"/>
      <c r="AA249" s="101"/>
      <c r="AB249" s="101"/>
      <c r="AC249" s="101"/>
      <c r="AD249" s="101"/>
    </row>
    <row r="250" spans="1:30" s="82" customFormat="1" x14ac:dyDescent="0.25">
      <c r="C250" s="157" t="s">
        <v>8636</v>
      </c>
      <c r="E250" s="276">
        <f>ROUND('Regis Corp. model'!$N$97,1)</f>
        <v>56.5</v>
      </c>
      <c r="F250" s="101"/>
      <c r="I250" s="177" t="str">
        <f>"In this scenario, Regis Corp.'s equity would trade for $"&amp;P250&amp;"m-$"&amp;R252&amp;"m..."</f>
        <v>In this scenario, Regis Corp.'s equity would trade for $1536m-$2666m...</v>
      </c>
      <c r="J250" s="136"/>
      <c r="K250" s="101"/>
      <c r="L250" s="101"/>
      <c r="M250" s="101"/>
      <c r="N250" s="101"/>
      <c r="O250" s="101"/>
      <c r="P250" s="290">
        <f>ROUND(P246+$E$252-SUM('Regis Corp. model'!$P$466,'Regis Corp. model'!$P$474,'Regis Corp. model'!$P$495),0)</f>
        <v>1536</v>
      </c>
      <c r="Q250" s="290">
        <f>ROUND(Q246+$E$252-SUM('Regis Corp. model'!$P$466,'Regis Corp. model'!$P$474,'Regis Corp. model'!$P$495),0)</f>
        <v>1711</v>
      </c>
      <c r="R250" s="291">
        <f>ROUND(R246+$E$252-SUM('Regis Corp. model'!$P$466,'Regis Corp. model'!$P$474,'Regis Corp. model'!$P$495),0)</f>
        <v>1886</v>
      </c>
      <c r="W250" s="109"/>
      <c r="X250" s="101"/>
      <c r="Y250" s="101"/>
      <c r="Z250" s="101"/>
      <c r="AA250" s="101"/>
      <c r="AB250" s="101"/>
      <c r="AC250" s="101"/>
      <c r="AD250" s="101"/>
    </row>
    <row r="251" spans="1:30" s="82" customFormat="1" x14ac:dyDescent="0.25">
      <c r="C251" s="157" t="s">
        <v>8638</v>
      </c>
      <c r="E251" s="276">
        <f>'Regis Corp. model'!$N$488</f>
        <v>172.5</v>
      </c>
      <c r="F251" s="101"/>
      <c r="I251" s="194"/>
      <c r="J251" s="136"/>
      <c r="K251" s="101"/>
      <c r="L251" s="101"/>
      <c r="M251" s="101"/>
      <c r="N251" s="101"/>
      <c r="O251" s="101"/>
      <c r="P251" s="290">
        <f>ROUND(P247+$E$252-SUM('Regis Corp. model'!$P$466,'Regis Corp. model'!$P$474,'Regis Corp. model'!$P$495),0)</f>
        <v>1746</v>
      </c>
      <c r="Q251" s="290">
        <f>ROUND(Q247+$E$252-SUM('Regis Corp. model'!$P$466,'Regis Corp. model'!$P$474,'Regis Corp. model'!$P$495),0)</f>
        <v>1946</v>
      </c>
      <c r="R251" s="291">
        <f>ROUND(R247+$E$252-SUM('Regis Corp. model'!$P$466,'Regis Corp. model'!$P$474,'Regis Corp. model'!$P$495),0)</f>
        <v>2146</v>
      </c>
      <c r="W251" s="109"/>
      <c r="X251" s="101"/>
      <c r="Y251" s="101"/>
      <c r="Z251" s="101"/>
      <c r="AA251" s="101"/>
      <c r="AB251" s="101"/>
      <c r="AC251" s="101"/>
      <c r="AD251" s="101"/>
    </row>
    <row r="252" spans="1:30" s="82" customFormat="1" x14ac:dyDescent="0.25">
      <c r="C252" s="157" t="s">
        <v>8635</v>
      </c>
      <c r="E252" s="278">
        <f>ROUND('Regis Corp. model'!$P$109,0)</f>
        <v>186</v>
      </c>
      <c r="F252" s="101"/>
      <c r="I252" s="194"/>
      <c r="J252" s="136"/>
      <c r="K252" s="101"/>
      <c r="L252" s="101"/>
      <c r="M252" s="101"/>
      <c r="N252" s="101"/>
      <c r="O252" s="101"/>
      <c r="P252" s="290">
        <f>ROUND(P248+$E$252-SUM('Regis Corp. model'!$P$466,'Regis Corp. model'!$P$474,'Regis Corp. model'!$P$495),0)</f>
        <v>2166</v>
      </c>
      <c r="Q252" s="290">
        <f>ROUND(Q248+$E$252-SUM('Regis Corp. model'!$P$466,'Regis Corp. model'!$P$474,'Regis Corp. model'!$P$495),0)</f>
        <v>2416</v>
      </c>
      <c r="R252" s="291">
        <f>ROUND(R248+$E$252-SUM('Regis Corp. model'!$P$466,'Regis Corp. model'!$P$474,'Regis Corp. model'!$P$495),0)</f>
        <v>2666</v>
      </c>
      <c r="W252" s="109"/>
      <c r="X252" s="101"/>
      <c r="Y252" s="101"/>
      <c r="Z252" s="101"/>
      <c r="AA252" s="101"/>
      <c r="AB252" s="101"/>
      <c r="AC252" s="101"/>
      <c r="AD252" s="101"/>
    </row>
    <row r="253" spans="1:30" s="82" customFormat="1" x14ac:dyDescent="0.25">
      <c r="F253" s="101"/>
      <c r="I253" s="193"/>
      <c r="J253" s="136"/>
      <c r="K253" s="101"/>
      <c r="L253" s="101"/>
      <c r="M253" s="101"/>
      <c r="N253" s="101"/>
      <c r="O253" s="101"/>
      <c r="P253" s="109"/>
      <c r="Q253" s="101"/>
      <c r="R253" s="164"/>
      <c r="W253" s="109"/>
      <c r="X253" s="101"/>
      <c r="Y253" s="101"/>
      <c r="Z253" s="101"/>
      <c r="AA253" s="101"/>
      <c r="AB253" s="101"/>
      <c r="AC253" s="101"/>
      <c r="AD253" s="101"/>
    </row>
    <row r="254" spans="1:30" s="82" customFormat="1" x14ac:dyDescent="0.25">
      <c r="F254" s="101"/>
      <c r="I254" s="177" t="str">
        <f>"…which equates to an RGS share price of $"&amp;P254&amp;" - $"&amp;R256&amp;"…"</f>
        <v>…which equates to an RGS share price of $27.19 - $47.19…</v>
      </c>
      <c r="J254" s="136"/>
      <c r="K254" s="101"/>
      <c r="L254" s="101"/>
      <c r="M254" s="101"/>
      <c r="N254" s="101"/>
      <c r="O254" s="101"/>
      <c r="P254" s="128">
        <f t="shared" ref="P254:R256" si="72">ROUND(P250/$E$250,2)</f>
        <v>27.19</v>
      </c>
      <c r="Q254" s="128">
        <f t="shared" si="72"/>
        <v>30.28</v>
      </c>
      <c r="R254" s="180">
        <f t="shared" si="72"/>
        <v>33.380000000000003</v>
      </c>
      <c r="W254" s="109"/>
      <c r="X254" s="101"/>
      <c r="Y254" s="101"/>
      <c r="Z254" s="101"/>
      <c r="AA254" s="101"/>
      <c r="AB254" s="101"/>
      <c r="AC254" s="101"/>
      <c r="AD254" s="101"/>
    </row>
    <row r="255" spans="1:30" s="82" customFormat="1" x14ac:dyDescent="0.25">
      <c r="F255" s="101"/>
      <c r="I255" s="193"/>
      <c r="J255" s="136"/>
      <c r="K255" s="101"/>
      <c r="L255" s="101"/>
      <c r="M255" s="101"/>
      <c r="N255" s="101"/>
      <c r="O255" s="101"/>
      <c r="P255" s="128">
        <f t="shared" si="72"/>
        <v>30.9</v>
      </c>
      <c r="Q255" s="128">
        <f t="shared" si="72"/>
        <v>34.44</v>
      </c>
      <c r="R255" s="180">
        <f t="shared" si="72"/>
        <v>37.979999999999997</v>
      </c>
      <c r="W255" s="109"/>
      <c r="X255" s="101"/>
      <c r="Y255" s="101"/>
      <c r="Z255" s="101"/>
      <c r="AA255" s="101"/>
      <c r="AB255" s="101"/>
      <c r="AC255" s="101"/>
      <c r="AD255" s="101"/>
    </row>
    <row r="256" spans="1:30" s="82" customFormat="1" x14ac:dyDescent="0.25">
      <c r="F256" s="101"/>
      <c r="I256" s="193"/>
      <c r="J256" s="136"/>
      <c r="K256" s="101"/>
      <c r="L256" s="101"/>
      <c r="M256" s="101"/>
      <c r="N256" s="101"/>
      <c r="O256" s="101"/>
      <c r="P256" s="128">
        <f t="shared" si="72"/>
        <v>38.340000000000003</v>
      </c>
      <c r="Q256" s="128">
        <f t="shared" si="72"/>
        <v>42.76</v>
      </c>
      <c r="R256" s="180">
        <f t="shared" si="72"/>
        <v>47.19</v>
      </c>
      <c r="W256" s="109"/>
      <c r="X256" s="101"/>
      <c r="Y256" s="101"/>
      <c r="Z256" s="101"/>
      <c r="AA256" s="101"/>
      <c r="AB256" s="101"/>
      <c r="AC256" s="101"/>
      <c r="AD256" s="101"/>
    </row>
    <row r="257" spans="3:30" s="82" customFormat="1" x14ac:dyDescent="0.25">
      <c r="F257" s="101"/>
      <c r="I257" s="193"/>
      <c r="J257" s="136"/>
      <c r="K257" s="101"/>
      <c r="L257" s="101"/>
      <c r="M257" s="101"/>
      <c r="N257" s="101"/>
      <c r="O257" s="101"/>
      <c r="P257" s="128"/>
      <c r="Q257" s="128"/>
      <c r="R257" s="180"/>
      <c r="W257" s="109"/>
      <c r="X257" s="101"/>
      <c r="Y257" s="101"/>
      <c r="Z257" s="101"/>
      <c r="AA257" s="101"/>
      <c r="AB257" s="101"/>
      <c r="AC257" s="101"/>
      <c r="AD257" s="101"/>
    </row>
    <row r="258" spans="3:30" s="82" customFormat="1" x14ac:dyDescent="0.25">
      <c r="C258" s="279">
        <f t="shared" ref="C258:E259" si="73">ROUND(P258*100,0)</f>
        <v>97</v>
      </c>
      <c r="D258" s="279">
        <f t="shared" si="73"/>
        <v>119</v>
      </c>
      <c r="E258" s="279">
        <f t="shared" si="73"/>
        <v>141</v>
      </c>
      <c r="F258" s="101"/>
      <c r="I258" s="177" t="str">
        <f>"… and a total return of +"&amp;C258&amp;"% to +"&amp;E261&amp;"% from a $"&amp;N258&amp;" share price"</f>
        <v>… and a total return of +97% to +241% from a $13.83 share price</v>
      </c>
      <c r="J258" s="136"/>
      <c r="K258" s="101"/>
      <c r="L258" s="101"/>
      <c r="M258" s="101"/>
      <c r="N258" s="421">
        <v>13.83</v>
      </c>
      <c r="O258" s="101"/>
      <c r="P258" s="161">
        <f t="shared" ref="P258:R260" si="74">P254/$N$258-1</f>
        <v>0.96601590744757782</v>
      </c>
      <c r="Q258" s="161">
        <f t="shared" si="74"/>
        <v>1.1894432393347794</v>
      </c>
      <c r="R258" s="191">
        <f t="shared" si="74"/>
        <v>1.413593637020969</v>
      </c>
      <c r="W258" s="109"/>
      <c r="X258" s="101"/>
      <c r="Y258" s="101"/>
      <c r="Z258" s="101"/>
      <c r="AA258" s="101"/>
      <c r="AB258" s="101"/>
      <c r="AC258" s="101"/>
      <c r="AD258" s="101"/>
    </row>
    <row r="259" spans="3:30" s="82" customFormat="1" x14ac:dyDescent="0.25">
      <c r="C259" s="279">
        <f t="shared" si="73"/>
        <v>123</v>
      </c>
      <c r="D259" s="279">
        <f t="shared" si="73"/>
        <v>149</v>
      </c>
      <c r="E259" s="279">
        <f t="shared" si="73"/>
        <v>175</v>
      </c>
      <c r="F259" s="101"/>
      <c r="I259" s="178"/>
      <c r="J259" s="136"/>
      <c r="K259" s="101"/>
      <c r="L259" s="101"/>
      <c r="M259" s="101"/>
      <c r="N259" s="101"/>
      <c r="O259" s="101"/>
      <c r="P259" s="161">
        <f t="shared" si="74"/>
        <v>1.2342733188720172</v>
      </c>
      <c r="Q259" s="161">
        <f t="shared" si="74"/>
        <v>1.4902386117136657</v>
      </c>
      <c r="R259" s="191">
        <f t="shared" si="74"/>
        <v>1.7462039045553142</v>
      </c>
      <c r="W259" s="109"/>
      <c r="X259" s="101"/>
      <c r="Y259" s="101"/>
      <c r="Z259" s="101"/>
      <c r="AA259" s="101"/>
      <c r="AB259" s="101"/>
      <c r="AC259" s="101"/>
      <c r="AD259" s="101"/>
    </row>
    <row r="260" spans="3:30" s="82" customFormat="1" x14ac:dyDescent="0.25">
      <c r="C260" s="279"/>
      <c r="D260" s="279"/>
      <c r="E260" s="279"/>
      <c r="F260" s="101"/>
      <c r="I260" s="178"/>
      <c r="J260" s="136"/>
      <c r="K260" s="101"/>
      <c r="L260" s="101"/>
      <c r="M260" s="101"/>
      <c r="N260" s="101"/>
      <c r="O260" s="101"/>
      <c r="P260" s="161">
        <f t="shared" si="74"/>
        <v>1.7722342733188721</v>
      </c>
      <c r="Q260" s="161">
        <f t="shared" si="74"/>
        <v>2.0918293564714388</v>
      </c>
      <c r="R260" s="191">
        <f t="shared" si="74"/>
        <v>2.4121475054229933</v>
      </c>
      <c r="W260" s="109"/>
      <c r="X260" s="101"/>
      <c r="Y260" s="101"/>
      <c r="Z260" s="101"/>
      <c r="AA260" s="101"/>
      <c r="AB260" s="101"/>
      <c r="AC260" s="101"/>
      <c r="AD260" s="101"/>
    </row>
    <row r="261" spans="3:30" s="82" customFormat="1" x14ac:dyDescent="0.25">
      <c r="C261" s="279">
        <f>ROUND(P260*100,0)</f>
        <v>177</v>
      </c>
      <c r="D261" s="279">
        <f>ROUND(Q260*100,0)</f>
        <v>209</v>
      </c>
      <c r="E261" s="279">
        <f>ROUND(R260*100,0)</f>
        <v>241</v>
      </c>
      <c r="F261" s="101"/>
      <c r="I261" s="181"/>
      <c r="J261" s="138"/>
      <c r="K261" s="111"/>
      <c r="L261" s="111"/>
      <c r="M261" s="111"/>
      <c r="N261" s="111"/>
      <c r="O261" s="111"/>
      <c r="P261" s="111"/>
      <c r="Q261" s="111"/>
      <c r="R261" s="192"/>
      <c r="W261" s="109"/>
      <c r="X261" s="101"/>
      <c r="Y261" s="101"/>
      <c r="Z261" s="101"/>
      <c r="AA261" s="101"/>
      <c r="AB261" s="101"/>
      <c r="AC261" s="101"/>
      <c r="AD261" s="101"/>
    </row>
    <row r="262" spans="3:30" s="82" customFormat="1" x14ac:dyDescent="0.25">
      <c r="F262" s="101"/>
      <c r="I262" s="582" t="s">
        <v>8839</v>
      </c>
      <c r="J262" s="136"/>
      <c r="K262" s="101"/>
      <c r="L262" s="101"/>
      <c r="M262" s="101"/>
      <c r="N262" s="101"/>
      <c r="O262" s="101"/>
      <c r="P262" s="130"/>
      <c r="Q262" s="130"/>
      <c r="R262" s="130"/>
      <c r="W262" s="109"/>
      <c r="X262" s="101"/>
      <c r="Y262" s="101"/>
      <c r="Z262" s="101"/>
      <c r="AA262" s="101"/>
      <c r="AB262" s="101"/>
      <c r="AC262" s="101"/>
      <c r="AD262" s="101"/>
    </row>
    <row r="263" spans="3:30" s="82" customFormat="1" x14ac:dyDescent="0.25">
      <c r="F263" s="101"/>
      <c r="I263" s="263" t="s">
        <v>8679</v>
      </c>
      <c r="J263" s="136"/>
      <c r="K263" s="101"/>
      <c r="L263" s="101"/>
      <c r="M263" s="101"/>
      <c r="N263" s="101"/>
      <c r="O263" s="101"/>
      <c r="P263" s="130"/>
      <c r="Q263" s="130"/>
      <c r="R263" s="130"/>
      <c r="W263" s="109"/>
      <c r="X263" s="101"/>
      <c r="Y263" s="101"/>
      <c r="Z263" s="101"/>
      <c r="AA263" s="101"/>
      <c r="AB263" s="101"/>
      <c r="AC263" s="101"/>
      <c r="AD263" s="101"/>
    </row>
    <row r="264" spans="3:30" s="82" customFormat="1" ht="15" customHeight="1" x14ac:dyDescent="0.25">
      <c r="F264" s="101"/>
      <c r="I264" s="154"/>
      <c r="J264" s="136"/>
      <c r="K264" s="101"/>
      <c r="L264" s="101"/>
      <c r="M264" s="101"/>
      <c r="N264" s="101"/>
      <c r="O264" s="101"/>
      <c r="P264" s="130"/>
      <c r="Q264" s="130"/>
      <c r="R264" s="130"/>
      <c r="W264" s="109"/>
      <c r="X264" s="101"/>
      <c r="Y264" s="101"/>
      <c r="Z264" s="101"/>
      <c r="AA264" s="101"/>
      <c r="AB264" s="101"/>
      <c r="AC264" s="101"/>
      <c r="AD264" s="101"/>
    </row>
    <row r="265" spans="3:30" s="82" customFormat="1" ht="15" customHeight="1" x14ac:dyDescent="0.25">
      <c r="I265" s="126"/>
      <c r="J265" s="136"/>
      <c r="K265" s="101"/>
      <c r="L265" s="101"/>
      <c r="M265" s="101"/>
      <c r="N265" s="101"/>
      <c r="O265" s="101"/>
      <c r="P265" s="166"/>
      <c r="Q265" s="166"/>
      <c r="R265" s="166"/>
      <c r="W265" s="49"/>
      <c r="X265" s="101"/>
      <c r="Y265" s="101"/>
      <c r="Z265" s="101"/>
      <c r="AA265" s="101"/>
      <c r="AB265" s="101"/>
      <c r="AC265" s="101"/>
      <c r="AD265" s="101"/>
    </row>
    <row r="266" spans="3:30" s="82" customFormat="1" ht="15" customHeight="1" x14ac:dyDescent="0.25">
      <c r="I266" s="411" t="s">
        <v>8715</v>
      </c>
      <c r="J266" s="412"/>
      <c r="K266" s="412"/>
      <c r="L266" s="412"/>
      <c r="M266" s="412"/>
      <c r="N266" s="412"/>
      <c r="O266" s="412"/>
      <c r="P266" s="412"/>
      <c r="Q266" s="412"/>
      <c r="R266" s="413"/>
      <c r="W266" s="49"/>
      <c r="X266" s="101"/>
      <c r="Y266" s="101"/>
      <c r="Z266" s="101"/>
      <c r="AA266" s="101"/>
      <c r="AB266" s="101"/>
      <c r="AC266" s="101"/>
      <c r="AD266" s="101"/>
    </row>
    <row r="267" spans="3:30" s="82" customFormat="1" x14ac:dyDescent="0.25">
      <c r="F267" s="101"/>
      <c r="I267" s="169"/>
      <c r="J267" s="170"/>
      <c r="K267" s="171"/>
      <c r="L267" s="171"/>
      <c r="M267" s="171"/>
      <c r="N267" s="171"/>
      <c r="O267" s="171"/>
      <c r="P267" s="172"/>
      <c r="Q267" s="171"/>
      <c r="R267" s="173"/>
      <c r="W267" s="49"/>
      <c r="X267" s="101"/>
      <c r="Y267" s="101"/>
      <c r="Z267" s="101"/>
      <c r="AA267" s="101"/>
      <c r="AB267" s="101"/>
      <c r="AC267" s="101"/>
      <c r="AD267" s="101"/>
    </row>
    <row r="268" spans="3:30" s="82" customFormat="1" x14ac:dyDescent="0.25">
      <c r="F268" s="101"/>
      <c r="I268" s="394" t="s">
        <v>8714</v>
      </c>
      <c r="J268" s="136"/>
      <c r="K268" s="101"/>
      <c r="L268" s="101"/>
      <c r="M268" s="101"/>
      <c r="N268" s="101"/>
      <c r="O268" s="101"/>
      <c r="P268" s="49"/>
      <c r="Q268" s="101"/>
      <c r="R268" s="184"/>
      <c r="W268" s="49"/>
      <c r="X268" s="101"/>
      <c r="Y268" s="101"/>
      <c r="Z268" s="101"/>
      <c r="AA268" s="101"/>
      <c r="AB268" s="101"/>
      <c r="AC268" s="101"/>
      <c r="AD268" s="101"/>
    </row>
    <row r="269" spans="3:30" s="82" customFormat="1" x14ac:dyDescent="0.25">
      <c r="F269" s="101"/>
      <c r="I269" s="185" t="str">
        <f>"Regis Corp's operating income in the last 12 months was $"&amp;P269&amp;"m"</f>
        <v>Regis Corp's operating income in the last 12 months was $-4m</v>
      </c>
      <c r="J269" s="136"/>
      <c r="K269" s="101"/>
      <c r="L269" s="101"/>
      <c r="M269" s="101"/>
      <c r="N269" s="101"/>
      <c r="O269" s="101"/>
      <c r="P269" s="299">
        <f>ROUND(SUM('Regis Corp. model'!M85:P85),0)</f>
        <v>-4</v>
      </c>
      <c r="Q269" s="290"/>
      <c r="R269" s="300"/>
      <c r="W269" s="49"/>
      <c r="X269" s="101"/>
      <c r="Y269" s="101"/>
      <c r="Z269" s="101"/>
      <c r="AA269" s="101"/>
      <c r="AB269" s="101"/>
      <c r="AC269" s="101"/>
      <c r="AD269" s="101"/>
    </row>
    <row r="270" spans="3:30" s="82" customFormat="1" x14ac:dyDescent="0.25">
      <c r="F270" s="101"/>
      <c r="I270" s="186"/>
      <c r="J270" s="136"/>
      <c r="K270" s="101"/>
      <c r="L270" s="101"/>
      <c r="M270" s="101"/>
      <c r="N270" s="101"/>
      <c r="O270" s="101"/>
      <c r="P270" s="299"/>
      <c r="Q270" s="290"/>
      <c r="R270" s="300"/>
      <c r="W270" s="49"/>
      <c r="X270" s="101"/>
      <c r="Y270" s="101"/>
      <c r="Z270" s="101"/>
      <c r="AA270" s="101"/>
      <c r="AB270" s="101"/>
      <c r="AC270" s="101"/>
      <c r="AD270" s="101"/>
    </row>
    <row r="271" spans="3:30" s="82" customFormat="1" x14ac:dyDescent="0.25">
      <c r="F271" s="101"/>
      <c r="I271" s="185" t="str">
        <f>"We'd like to grow operating income by $"&amp;P271&amp;"m-$"&amp;R271&amp;"m over the next 12 months…"</f>
        <v>We'd like to grow operating income by $114m-$164m over the next 12 months…</v>
      </c>
      <c r="J271" s="136"/>
      <c r="K271" s="101"/>
      <c r="L271" s="101"/>
      <c r="M271" s="101"/>
      <c r="N271" s="101"/>
      <c r="O271" s="101"/>
      <c r="P271" s="533">
        <f>P272-$P$269</f>
        <v>114</v>
      </c>
      <c r="Q271" s="533">
        <f>Q272-$P$269</f>
        <v>139</v>
      </c>
      <c r="R271" s="534">
        <f>R272-$P$269</f>
        <v>164</v>
      </c>
      <c r="W271" s="49"/>
      <c r="X271" s="101"/>
      <c r="Y271" s="101"/>
      <c r="Z271" s="101"/>
      <c r="AA271" s="101"/>
      <c r="AB271" s="101"/>
      <c r="AC271" s="101"/>
      <c r="AD271" s="101"/>
    </row>
    <row r="272" spans="3:30" s="82" customFormat="1" x14ac:dyDescent="0.25">
      <c r="F272" s="101"/>
      <c r="I272" s="196" t="str">
        <f>"...so the company generates total operating income each year of $"&amp;P272&amp;"m-$"&amp;R272&amp;"m"</f>
        <v>...so the company generates total operating income each year of $110m-$160m</v>
      </c>
      <c r="J272" s="136"/>
      <c r="K272" s="151"/>
      <c r="L272" s="151"/>
      <c r="M272" s="151"/>
      <c r="N272" s="151"/>
      <c r="O272" s="151"/>
      <c r="P272" s="415">
        <f>P228</f>
        <v>110</v>
      </c>
      <c r="Q272" s="415">
        <f>Q228</f>
        <v>135</v>
      </c>
      <c r="R272" s="416">
        <f>R228</f>
        <v>160</v>
      </c>
      <c r="W272" s="49"/>
      <c r="X272" s="101"/>
      <c r="Y272" s="101"/>
      <c r="Z272" s="101"/>
      <c r="AA272" s="101"/>
      <c r="AB272" s="101"/>
      <c r="AC272" s="101"/>
      <c r="AD272" s="101"/>
    </row>
    <row r="273" spans="3:30" s="82" customFormat="1" x14ac:dyDescent="0.25">
      <c r="F273" s="101"/>
      <c r="I273" s="186"/>
      <c r="J273" s="136"/>
      <c r="K273" s="101"/>
      <c r="L273" s="101"/>
      <c r="M273" s="101"/>
      <c r="N273" s="101"/>
      <c r="O273" s="101"/>
      <c r="P273" s="417"/>
      <c r="Q273" s="418"/>
      <c r="R273" s="419"/>
      <c r="W273" s="49"/>
      <c r="X273" s="101"/>
      <c r="Y273" s="101"/>
      <c r="Z273" s="101"/>
      <c r="AA273" s="101"/>
      <c r="AB273" s="101"/>
      <c r="AC273" s="101"/>
      <c r="AD273" s="101"/>
    </row>
    <row r="274" spans="3:30" s="82" customFormat="1" x14ac:dyDescent="0.25">
      <c r="E274" s="280">
        <f>ROUND(P274*100,0)</f>
        <v>33</v>
      </c>
      <c r="F274" s="101"/>
      <c r="I274" s="402" t="str">
        <f>"Beginning today, "&amp;E274&amp;"% of all operating income growth will be refunded back to the salons pro-rata*…"</f>
        <v>Beginning today, 33% of all operating income growth will be refunded back to the salons pro-rata*…</v>
      </c>
      <c r="J274" s="136"/>
      <c r="K274" s="101"/>
      <c r="L274" s="101"/>
      <c r="M274" s="101"/>
      <c r="N274" s="101"/>
      <c r="O274" s="101"/>
      <c r="P274" s="420">
        <v>0.33300000000000002</v>
      </c>
      <c r="Q274" s="418"/>
      <c r="R274" s="419"/>
      <c r="W274" s="49"/>
      <c r="X274" s="101"/>
      <c r="Y274" s="101"/>
      <c r="Z274" s="101"/>
      <c r="AA274" s="101"/>
      <c r="AB274" s="101"/>
      <c r="AC274" s="101"/>
      <c r="AD274" s="101"/>
    </row>
    <row r="275" spans="3:30" s="82" customFormat="1" x14ac:dyDescent="0.25">
      <c r="F275" s="101"/>
      <c r="I275" s="402" t="str">
        <f>"…which means that if run-rate operating income did grow by $"&amp;P271&amp;"m-$"&amp;R271&amp;"m this year…"</f>
        <v>…which means that if run-rate operating income did grow by $114m-$164m this year…</v>
      </c>
      <c r="J275" s="136"/>
      <c r="K275" s="101"/>
      <c r="L275" s="101"/>
      <c r="M275" s="101"/>
      <c r="N275" s="101"/>
      <c r="O275" s="101"/>
      <c r="P275" s="101"/>
      <c r="Q275" s="101"/>
      <c r="R275" s="184"/>
      <c r="W275" s="49"/>
      <c r="X275" s="101"/>
      <c r="Y275" s="101"/>
      <c r="Z275" s="101"/>
      <c r="AA275" s="101"/>
      <c r="AB275" s="101"/>
      <c r="AC275" s="101"/>
      <c r="AD275" s="101"/>
    </row>
    <row r="276" spans="3:30" s="82" customFormat="1" ht="15" customHeight="1" x14ac:dyDescent="0.25">
      <c r="F276" s="101"/>
      <c r="I276" s="187" t="str">
        <f>"…we'd return $"&amp;P276&amp;"m-$"&amp;R276&amp;"m of this amount back to each salon based on its individual EBIT contribution"</f>
        <v>…we'd return $38m-$55m of this amount back to each salon based on its individual EBIT contribution</v>
      </c>
      <c r="J276" s="136"/>
      <c r="K276" s="152"/>
      <c r="L276" s="152"/>
      <c r="M276" s="152"/>
      <c r="N276" s="152"/>
      <c r="O276" s="101"/>
      <c r="P276" s="301">
        <f>ROUNDUP($P$274*P271,0)</f>
        <v>38</v>
      </c>
      <c r="Q276" s="301">
        <f>ROUNDUP($P$274*Q271,0)</f>
        <v>47</v>
      </c>
      <c r="R276" s="302">
        <f>ROUNDUP($P$274*R271,0)</f>
        <v>55</v>
      </c>
      <c r="W276" s="49"/>
      <c r="X276" s="101"/>
      <c r="Y276" s="101"/>
      <c r="Z276" s="101"/>
      <c r="AA276" s="101"/>
      <c r="AB276" s="101"/>
      <c r="AC276" s="101"/>
      <c r="AD276" s="101"/>
    </row>
    <row r="277" spans="3:30" s="82" customFormat="1" ht="15" customHeight="1" x14ac:dyDescent="0.25">
      <c r="F277" s="101"/>
      <c r="I277" s="163"/>
      <c r="J277" s="138"/>
      <c r="K277" s="111"/>
      <c r="L277" s="111"/>
      <c r="M277" s="111"/>
      <c r="N277" s="111"/>
      <c r="O277" s="111"/>
      <c r="P277" s="45"/>
      <c r="Q277" s="111"/>
      <c r="R277" s="165"/>
      <c r="W277" s="49"/>
      <c r="X277" s="101"/>
      <c r="Y277" s="101"/>
      <c r="Z277" s="101"/>
      <c r="AA277" s="101"/>
      <c r="AB277" s="101"/>
      <c r="AC277" s="101"/>
      <c r="AD277" s="101"/>
    </row>
    <row r="278" spans="3:30" s="82" customFormat="1" ht="15" customHeight="1" x14ac:dyDescent="0.25">
      <c r="F278" s="101"/>
      <c r="I278" s="403" t="s">
        <v>8716</v>
      </c>
      <c r="J278" s="136"/>
      <c r="K278" s="101"/>
      <c r="L278" s="101"/>
      <c r="M278" s="101"/>
      <c r="N278" s="101"/>
      <c r="O278" s="101"/>
      <c r="P278" s="49"/>
      <c r="Q278" s="101"/>
      <c r="R278" s="49"/>
      <c r="W278" s="49"/>
      <c r="X278" s="101"/>
      <c r="Y278" s="101"/>
      <c r="Z278" s="101"/>
      <c r="AA278" s="101"/>
      <c r="AB278" s="101"/>
      <c r="AC278" s="101"/>
      <c r="AD278" s="101"/>
    </row>
    <row r="279" spans="3:30" s="82" customFormat="1" ht="15" customHeight="1" x14ac:dyDescent="0.25">
      <c r="F279" s="101"/>
      <c r="I279" s="126"/>
      <c r="J279" s="136"/>
      <c r="K279" s="101"/>
      <c r="L279" s="101"/>
      <c r="M279" s="101"/>
      <c r="N279" s="101"/>
      <c r="O279" s="101"/>
      <c r="P279" s="49"/>
      <c r="Q279" s="101"/>
      <c r="R279" s="49"/>
      <c r="W279" s="49"/>
      <c r="X279" s="101"/>
      <c r="Y279" s="101"/>
      <c r="Z279" s="101"/>
      <c r="AA279" s="101"/>
      <c r="AB279" s="101"/>
      <c r="AC279" s="101"/>
      <c r="AD279" s="101"/>
    </row>
    <row r="280" spans="3:30" s="82" customFormat="1" x14ac:dyDescent="0.25">
      <c r="I280" s="411" t="s">
        <v>8756</v>
      </c>
      <c r="J280" s="412"/>
      <c r="K280" s="412"/>
      <c r="L280" s="412"/>
      <c r="M280" s="412"/>
      <c r="N280" s="412"/>
      <c r="O280" s="412"/>
      <c r="P280" s="412"/>
      <c r="Q280" s="412"/>
      <c r="R280" s="413"/>
      <c r="W280" s="49"/>
      <c r="X280" s="101"/>
      <c r="Y280" s="101"/>
      <c r="Z280" s="101"/>
      <c r="AA280" s="101"/>
      <c r="AB280" s="101"/>
      <c r="AC280" s="101"/>
      <c r="AD280" s="101"/>
    </row>
    <row r="281" spans="3:30" s="82" customFormat="1" x14ac:dyDescent="0.25">
      <c r="I281" s="169"/>
      <c r="J281" s="170"/>
      <c r="K281" s="171"/>
      <c r="L281" s="171"/>
      <c r="M281" s="171"/>
      <c r="N281" s="171"/>
      <c r="O281" s="171"/>
      <c r="P281" s="172"/>
      <c r="Q281" s="171"/>
      <c r="R281" s="173"/>
      <c r="W281" s="49"/>
      <c r="X281" s="101"/>
      <c r="Y281" s="101"/>
      <c r="Z281" s="101"/>
      <c r="AA281" s="101"/>
      <c r="AB281" s="101"/>
      <c r="AC281" s="101"/>
      <c r="AD281" s="101"/>
    </row>
    <row r="282" spans="3:30" s="82" customFormat="1" x14ac:dyDescent="0.25">
      <c r="I282" s="174" t="str">
        <f>"With stylists properly incentivized, Regis Corp. could produce annual EBIT of $"&amp;P282&amp;"m-$"&amp;R282&amp;"m…"</f>
        <v>With stylists properly incentivized, Regis Corp. could produce annual EBIT of $110m-$160m…</v>
      </c>
      <c r="J282" s="136"/>
      <c r="K282" s="101"/>
      <c r="L282" s="101"/>
      <c r="M282" s="101"/>
      <c r="N282" s="101"/>
      <c r="O282" s="101"/>
      <c r="P282" s="299">
        <f>P272</f>
        <v>110</v>
      </c>
      <c r="Q282" s="299">
        <f>Q272</f>
        <v>135</v>
      </c>
      <c r="R282" s="300">
        <f>R272</f>
        <v>160</v>
      </c>
      <c r="W282" s="49"/>
      <c r="X282" s="101"/>
      <c r="Y282" s="101"/>
      <c r="Z282" s="101"/>
      <c r="AA282" s="101"/>
      <c r="AB282" s="101"/>
      <c r="AC282" s="101"/>
      <c r="AD282" s="101"/>
    </row>
    <row r="283" spans="3:30" s="82" customFormat="1" x14ac:dyDescent="0.25">
      <c r="I283" s="175" t="str">
        <f>"…and after compensating performing salons with rebates worth $"&amp;P276&amp;"m-$"&amp;R276&amp;"m…"</f>
        <v>…and after compensating performing salons with rebates worth $38m-$55m…</v>
      </c>
      <c r="J283" s="136"/>
      <c r="K283" s="101"/>
      <c r="L283" s="101"/>
      <c r="M283" s="101"/>
      <c r="N283" s="101"/>
      <c r="O283" s="101"/>
      <c r="P283" s="303">
        <f>-P276</f>
        <v>-38</v>
      </c>
      <c r="Q283" s="303">
        <f>-Q276</f>
        <v>-47</v>
      </c>
      <c r="R283" s="304">
        <f>-R276</f>
        <v>-55</v>
      </c>
      <c r="W283" s="49"/>
      <c r="X283" s="101"/>
      <c r="Y283" s="101"/>
      <c r="Z283" s="101"/>
      <c r="AA283" s="101"/>
      <c r="AB283" s="101"/>
      <c r="AC283" s="101"/>
      <c r="AD283" s="101"/>
    </row>
    <row r="284" spans="3:30" s="82" customFormat="1" x14ac:dyDescent="0.25">
      <c r="I284" s="176" t="str">
        <f>"…Regis Corp.'s creditors and owners would be left with $"&amp;P284&amp;"m-$"&amp;R284&amp;"m in annual EBIT"</f>
        <v>…Regis Corp.'s creditors and owners would be left with $72m-$105m in annual EBIT</v>
      </c>
      <c r="J284" s="136"/>
      <c r="K284" s="101"/>
      <c r="L284" s="101"/>
      <c r="M284" s="101"/>
      <c r="N284" s="101"/>
      <c r="O284" s="101"/>
      <c r="P284" s="299">
        <f>P282+P283</f>
        <v>72</v>
      </c>
      <c r="Q284" s="299">
        <f>Q282+Q283</f>
        <v>88</v>
      </c>
      <c r="R284" s="300">
        <f>R282+R283</f>
        <v>105</v>
      </c>
      <c r="W284" s="49"/>
      <c r="X284" s="101"/>
      <c r="Y284" s="101"/>
      <c r="Z284" s="101"/>
      <c r="AA284" s="101"/>
      <c r="AB284" s="101"/>
      <c r="AC284" s="101"/>
      <c r="AD284" s="101"/>
    </row>
    <row r="285" spans="3:30" s="82" customFormat="1" x14ac:dyDescent="0.25">
      <c r="I285" s="176"/>
      <c r="J285" s="136"/>
      <c r="K285" s="101"/>
      <c r="L285" s="101"/>
      <c r="M285" s="101"/>
      <c r="N285" s="101"/>
      <c r="O285" s="101"/>
      <c r="P285" s="299"/>
      <c r="Q285" s="299"/>
      <c r="R285" s="300"/>
      <c r="W285" s="49"/>
      <c r="X285" s="101"/>
      <c r="Y285" s="101"/>
      <c r="Z285" s="101"/>
      <c r="AA285" s="101"/>
      <c r="AB285" s="101"/>
      <c r="AC285" s="101"/>
      <c r="AD285" s="101"/>
    </row>
    <row r="286" spans="3:30" s="82" customFormat="1" x14ac:dyDescent="0.25">
      <c r="C286" s="195" t="s">
        <v>8639</v>
      </c>
      <c r="E286" s="159">
        <f>ROUND(SUM('Regis Corp. model'!$R$82:$U$82),0)</f>
        <v>97</v>
      </c>
      <c r="I286" s="286" t="str">
        <f>"Adding $"&amp;P286&amp;"m in assumed annual depreciation and amortization..."</f>
        <v>Adding $97m in assumed annual depreciation and amortization...</v>
      </c>
      <c r="J286" s="136"/>
      <c r="K286" s="101"/>
      <c r="L286" s="101"/>
      <c r="M286" s="101"/>
      <c r="N286" s="101"/>
      <c r="O286" s="101"/>
      <c r="P286" s="295">
        <f>$E$286</f>
        <v>97</v>
      </c>
      <c r="Q286" s="295">
        <f>$E$286</f>
        <v>97</v>
      </c>
      <c r="R286" s="296">
        <f>$E$286</f>
        <v>97</v>
      </c>
      <c r="W286" s="49"/>
      <c r="X286" s="101"/>
      <c r="Y286" s="101"/>
      <c r="Z286" s="101"/>
      <c r="AA286" s="101"/>
      <c r="AB286" s="101"/>
      <c r="AC286" s="101"/>
      <c r="AD286" s="101"/>
    </row>
    <row r="287" spans="3:30" s="82" customFormat="1" x14ac:dyDescent="0.25">
      <c r="I287" s="174" t="str">
        <f>"…the stabilized Regis enterprise would generate annual EBITDA of $"&amp;P287&amp;"m-$"&amp;R287&amp;"m"</f>
        <v>…the stabilized Regis enterprise would generate annual EBITDA of $169m-$202m</v>
      </c>
      <c r="J287" s="136"/>
      <c r="K287" s="101"/>
      <c r="L287" s="101"/>
      <c r="M287" s="101"/>
      <c r="N287" s="101"/>
      <c r="O287" s="101"/>
      <c r="P287" s="297">
        <f>P284+P286</f>
        <v>169</v>
      </c>
      <c r="Q287" s="297">
        <f>Q284+Q286</f>
        <v>185</v>
      </c>
      <c r="R287" s="298">
        <f>R284+R286</f>
        <v>202</v>
      </c>
      <c r="W287" s="49"/>
      <c r="X287" s="101"/>
      <c r="Y287" s="101"/>
      <c r="Z287" s="101"/>
      <c r="AA287" s="101"/>
      <c r="AB287" s="101"/>
      <c r="AC287" s="101"/>
      <c r="AD287" s="101"/>
    </row>
    <row r="288" spans="3:30" s="82" customFormat="1" x14ac:dyDescent="0.25">
      <c r="I288" s="174"/>
      <c r="J288" s="136"/>
      <c r="K288" s="101"/>
      <c r="L288" s="101"/>
      <c r="M288" s="101"/>
      <c r="N288" s="101"/>
      <c r="O288" s="101"/>
      <c r="P288" s="299"/>
      <c r="Q288" s="299"/>
      <c r="R288" s="300"/>
      <c r="W288" s="49"/>
      <c r="X288" s="101"/>
      <c r="Y288" s="101"/>
      <c r="Z288" s="101"/>
      <c r="AA288" s="101"/>
      <c r="AB288" s="101"/>
      <c r="AC288" s="101"/>
      <c r="AD288" s="101"/>
    </row>
    <row r="289" spans="3:30" s="82" customFormat="1" x14ac:dyDescent="0.25">
      <c r="C289" s="157" t="s">
        <v>8636</v>
      </c>
      <c r="E289" s="276">
        <f>ROUND('Regis Corp. model'!$P$97,1)</f>
        <v>55.7</v>
      </c>
      <c r="I289" s="177" t="str">
        <f>"If the Regis Corp. enterprise traded at "&amp;N289&amp;"x-"&amp;N291&amp;"x post-rebate EBITDA*..."</f>
        <v>If the Regis Corp. enterprise traded at 7x-10x post-rebate EBITDA*...</v>
      </c>
      <c r="J289" s="136"/>
      <c r="K289" s="101"/>
      <c r="L289" s="101"/>
      <c r="M289" s="101"/>
      <c r="N289" s="129">
        <v>7</v>
      </c>
      <c r="O289" s="101"/>
      <c r="P289" s="290">
        <f t="shared" ref="P289:R291" si="75">ROUND($N289*P$287,0)</f>
        <v>1183</v>
      </c>
      <c r="Q289" s="290">
        <f t="shared" si="75"/>
        <v>1295</v>
      </c>
      <c r="R289" s="291">
        <f t="shared" si="75"/>
        <v>1414</v>
      </c>
      <c r="W289" s="49"/>
      <c r="X289" s="101"/>
      <c r="Y289" s="101"/>
      <c r="Z289" s="101"/>
      <c r="AA289" s="101"/>
      <c r="AB289" s="101"/>
      <c r="AC289" s="101"/>
      <c r="AD289" s="101"/>
    </row>
    <row r="290" spans="3:30" s="82" customFormat="1" x14ac:dyDescent="0.25">
      <c r="C290" s="157"/>
      <c r="E290" s="276"/>
      <c r="I290" s="177" t="str">
        <f>"…it would be valued at $"&amp;P289&amp;"m-$"&amp;R291&amp;"m"</f>
        <v>…it would be valued at $1183m-$2020m</v>
      </c>
      <c r="J290" s="136"/>
      <c r="K290" s="101"/>
      <c r="L290" s="101"/>
      <c r="M290" s="101"/>
      <c r="N290" s="129">
        <v>8</v>
      </c>
      <c r="O290" s="101"/>
      <c r="P290" s="290">
        <f t="shared" si="75"/>
        <v>1352</v>
      </c>
      <c r="Q290" s="290">
        <f t="shared" si="75"/>
        <v>1480</v>
      </c>
      <c r="R290" s="291">
        <f t="shared" si="75"/>
        <v>1616</v>
      </c>
      <c r="W290" s="49"/>
      <c r="X290" s="101"/>
      <c r="Y290" s="101"/>
      <c r="Z290" s="101"/>
      <c r="AA290" s="101"/>
      <c r="AB290" s="101"/>
      <c r="AC290" s="101"/>
      <c r="AD290" s="101"/>
    </row>
    <row r="291" spans="3:30" s="82" customFormat="1" x14ac:dyDescent="0.25">
      <c r="C291" s="157" t="s">
        <v>8635</v>
      </c>
      <c r="E291" s="278">
        <f>ROUND('Regis Corp. model'!$P$109,0)</f>
        <v>186</v>
      </c>
      <c r="I291" s="178"/>
      <c r="J291" s="136"/>
      <c r="K291" s="101"/>
      <c r="L291" s="101"/>
      <c r="M291" s="101"/>
      <c r="N291" s="129">
        <v>10</v>
      </c>
      <c r="O291" s="101"/>
      <c r="P291" s="290">
        <f t="shared" si="75"/>
        <v>1690</v>
      </c>
      <c r="Q291" s="290">
        <f t="shared" si="75"/>
        <v>1850</v>
      </c>
      <c r="R291" s="291">
        <f t="shared" si="75"/>
        <v>2020</v>
      </c>
      <c r="W291" s="49"/>
      <c r="X291" s="101"/>
      <c r="Y291" s="101"/>
      <c r="Z291" s="101"/>
      <c r="AA291" s="101"/>
      <c r="AB291" s="101"/>
      <c r="AC291" s="101"/>
      <c r="AD291" s="101"/>
    </row>
    <row r="292" spans="3:30" s="82" customFormat="1" x14ac:dyDescent="0.25">
      <c r="I292" s="178"/>
      <c r="J292" s="136"/>
      <c r="K292" s="101"/>
      <c r="L292" s="101"/>
      <c r="M292" s="129"/>
      <c r="N292" s="129"/>
      <c r="O292" s="101"/>
      <c r="P292" s="290"/>
      <c r="Q292" s="290"/>
      <c r="R292" s="291"/>
      <c r="W292" s="49"/>
      <c r="X292" s="101"/>
      <c r="Y292" s="101"/>
      <c r="Z292" s="101"/>
      <c r="AA292" s="101"/>
      <c r="AB292" s="101"/>
      <c r="AC292" s="101"/>
      <c r="AD292" s="101"/>
    </row>
    <row r="293" spans="3:30" s="82" customFormat="1" x14ac:dyDescent="0.25">
      <c r="I293" s="177" t="str">
        <f>"In this scenario, Regis Corp.'s equity** would trade for $"&amp;P293&amp;"m-$"&amp;R295&amp;"m..."</f>
        <v>In this scenario, Regis Corp.'s equity** would trade for $1246m-$2083m...</v>
      </c>
      <c r="J293" s="136"/>
      <c r="K293" s="101"/>
      <c r="L293" s="101"/>
      <c r="M293" s="101"/>
      <c r="N293" s="101"/>
      <c r="O293" s="101"/>
      <c r="P293" s="290">
        <f>ROUND(P289+$E$291-SUM('Regis Corp. model'!$N$466,'Regis Corp. model'!$N$474,'Regis Corp. model'!$N$495),0)</f>
        <v>1246</v>
      </c>
      <c r="Q293" s="290">
        <f>ROUND(Q289+$E$291-SUM('Regis Corp. model'!$N$466,'Regis Corp. model'!$N$474,'Regis Corp. model'!$N$495),0)</f>
        <v>1358</v>
      </c>
      <c r="R293" s="291">
        <f>ROUND(R289+$E$291-SUM('Regis Corp. model'!$N$466,'Regis Corp. model'!$N$474,'Regis Corp. model'!$N$495),0)</f>
        <v>1477</v>
      </c>
      <c r="W293" s="49"/>
      <c r="X293" s="101"/>
      <c r="Y293" s="101"/>
      <c r="Z293" s="101"/>
      <c r="AA293" s="101"/>
      <c r="AB293" s="101"/>
      <c r="AC293" s="101"/>
      <c r="AD293" s="101"/>
    </row>
    <row r="294" spans="3:30" s="82" customFormat="1" x14ac:dyDescent="0.25">
      <c r="I294" s="179"/>
      <c r="J294" s="136"/>
      <c r="K294" s="101"/>
      <c r="L294" s="101"/>
      <c r="M294" s="101"/>
      <c r="N294" s="101"/>
      <c r="O294" s="101"/>
      <c r="P294" s="290">
        <f>ROUND(P290+$E$291-SUM('Regis Corp. model'!$N$466,'Regis Corp. model'!$N$474,'Regis Corp. model'!$N$495),0)</f>
        <v>1415</v>
      </c>
      <c r="Q294" s="290">
        <f>ROUND(Q290+$E$291-SUM('Regis Corp. model'!$N$466,'Regis Corp. model'!$N$474,'Regis Corp. model'!$N$495),0)</f>
        <v>1543</v>
      </c>
      <c r="R294" s="291">
        <f>ROUND(R290+$E$291-SUM('Regis Corp. model'!$N$466,'Regis Corp. model'!$N$474,'Regis Corp. model'!$N$495),0)</f>
        <v>1679</v>
      </c>
      <c r="W294" s="49"/>
      <c r="X294" s="101"/>
      <c r="Y294" s="101"/>
      <c r="Z294" s="101"/>
      <c r="AA294" s="101"/>
      <c r="AB294" s="101"/>
      <c r="AC294" s="101"/>
      <c r="AD294" s="101"/>
    </row>
    <row r="295" spans="3:30" s="82" customFormat="1" x14ac:dyDescent="0.25">
      <c r="I295" s="179"/>
      <c r="J295" s="136"/>
      <c r="K295" s="101"/>
      <c r="L295" s="101"/>
      <c r="M295" s="101"/>
      <c r="N295" s="101"/>
      <c r="O295" s="101"/>
      <c r="P295" s="290">
        <f>ROUND(P291+$E$291-SUM('Regis Corp. model'!$N$466,'Regis Corp. model'!$N$474,'Regis Corp. model'!$N$495),0)</f>
        <v>1753</v>
      </c>
      <c r="Q295" s="290">
        <f>ROUND(Q291+$E$291-SUM('Regis Corp. model'!$N$466,'Regis Corp. model'!$N$474,'Regis Corp. model'!$N$495),0)</f>
        <v>1913</v>
      </c>
      <c r="R295" s="291">
        <f>ROUND(R291+$E$291-SUM('Regis Corp. model'!$N$466,'Regis Corp. model'!$N$474,'Regis Corp. model'!$N$495),0)</f>
        <v>2083</v>
      </c>
      <c r="W295" s="49"/>
      <c r="X295" s="101"/>
      <c r="Y295" s="101"/>
      <c r="Z295" s="101"/>
      <c r="AA295" s="101"/>
      <c r="AB295" s="101"/>
      <c r="AC295" s="101"/>
      <c r="AD295" s="101"/>
    </row>
    <row r="296" spans="3:30" s="82" customFormat="1" x14ac:dyDescent="0.25">
      <c r="I296" s="178"/>
      <c r="J296" s="136"/>
      <c r="K296" s="101"/>
      <c r="L296" s="101"/>
      <c r="M296" s="101"/>
      <c r="N296" s="101"/>
      <c r="O296" s="101"/>
      <c r="P296" s="109"/>
      <c r="Q296" s="101"/>
      <c r="R296" s="164"/>
      <c r="W296" s="49"/>
      <c r="X296" s="101"/>
      <c r="Y296" s="101"/>
      <c r="Z296" s="101"/>
      <c r="AA296" s="101"/>
      <c r="AB296" s="101"/>
      <c r="AC296" s="101"/>
      <c r="AD296" s="101"/>
    </row>
    <row r="297" spans="3:30" s="82" customFormat="1" x14ac:dyDescent="0.25">
      <c r="I297" s="177" t="str">
        <f>"…which equates to an RGS share price of $"&amp;P297&amp;" - $"&amp;R299&amp;"…"</f>
        <v>…which equates to an RGS share price of $22.37 - $37.4…</v>
      </c>
      <c r="J297" s="136"/>
      <c r="K297" s="101"/>
      <c r="L297" s="101"/>
      <c r="M297" s="101"/>
      <c r="N297" s="101"/>
      <c r="O297" s="101"/>
      <c r="P297" s="305">
        <f t="shared" ref="P297:R299" si="76">ROUND(P293/$E$289,2)</f>
        <v>22.37</v>
      </c>
      <c r="Q297" s="305">
        <f t="shared" si="76"/>
        <v>24.38</v>
      </c>
      <c r="R297" s="306">
        <f t="shared" si="76"/>
        <v>26.52</v>
      </c>
      <c r="W297" s="49"/>
      <c r="X297" s="101"/>
      <c r="Y297" s="101"/>
      <c r="Z297" s="101"/>
      <c r="AA297" s="101"/>
      <c r="AB297" s="101"/>
      <c r="AC297" s="101"/>
      <c r="AD297" s="101"/>
    </row>
    <row r="298" spans="3:30" s="82" customFormat="1" x14ac:dyDescent="0.25">
      <c r="I298" s="178"/>
      <c r="J298" s="136"/>
      <c r="K298" s="101"/>
      <c r="L298" s="101"/>
      <c r="M298" s="101"/>
      <c r="N298" s="101"/>
      <c r="O298" s="101"/>
      <c r="P298" s="305">
        <f t="shared" si="76"/>
        <v>25.4</v>
      </c>
      <c r="Q298" s="305">
        <f t="shared" si="76"/>
        <v>27.7</v>
      </c>
      <c r="R298" s="306">
        <f t="shared" si="76"/>
        <v>30.14</v>
      </c>
      <c r="W298" s="49"/>
      <c r="X298" s="101"/>
      <c r="Y298" s="101"/>
      <c r="Z298" s="101"/>
      <c r="AA298" s="101"/>
      <c r="AB298" s="101"/>
      <c r="AC298" s="101"/>
      <c r="AD298" s="101"/>
    </row>
    <row r="299" spans="3:30" s="82" customFormat="1" x14ac:dyDescent="0.25">
      <c r="I299" s="178"/>
      <c r="J299" s="136"/>
      <c r="K299" s="101"/>
      <c r="L299" s="101"/>
      <c r="M299" s="101"/>
      <c r="N299" s="101"/>
      <c r="O299" s="101"/>
      <c r="P299" s="305">
        <f t="shared" si="76"/>
        <v>31.47</v>
      </c>
      <c r="Q299" s="305">
        <f t="shared" si="76"/>
        <v>34.340000000000003</v>
      </c>
      <c r="R299" s="306">
        <f t="shared" si="76"/>
        <v>37.4</v>
      </c>
      <c r="W299" s="49"/>
      <c r="X299" s="101"/>
      <c r="Y299" s="101"/>
      <c r="Z299" s="101"/>
      <c r="AA299" s="101"/>
      <c r="AB299" s="101"/>
      <c r="AC299" s="101"/>
      <c r="AD299" s="101"/>
    </row>
    <row r="300" spans="3:30" s="82" customFormat="1" x14ac:dyDescent="0.25">
      <c r="I300" s="178"/>
      <c r="J300" s="136"/>
      <c r="K300" s="101"/>
      <c r="L300" s="101"/>
      <c r="M300" s="101"/>
      <c r="N300" s="101"/>
      <c r="O300" s="101"/>
      <c r="P300" s="305"/>
      <c r="Q300" s="305"/>
      <c r="R300" s="306"/>
      <c r="W300" s="49"/>
      <c r="X300" s="101"/>
      <c r="Y300" s="101"/>
      <c r="Z300" s="101"/>
      <c r="AA300" s="101"/>
      <c r="AB300" s="101"/>
      <c r="AC300" s="101"/>
      <c r="AD300" s="101"/>
    </row>
    <row r="301" spans="3:30" s="82" customFormat="1" x14ac:dyDescent="0.25">
      <c r="C301" s="160">
        <f t="shared" ref="C301:E303" si="77">ROUND(P301*100,0)</f>
        <v>62</v>
      </c>
      <c r="D301" s="160">
        <f t="shared" si="77"/>
        <v>76</v>
      </c>
      <c r="E301" s="160">
        <f t="shared" si="77"/>
        <v>92</v>
      </c>
      <c r="I301" s="177" t="str">
        <f>"…and a total return of +"&amp;C301&amp;"% to +"&amp;E303&amp;"% from a $"&amp;N301&amp;" share price"</f>
        <v>…and a total return of +62% to +170% from a $13.83 share price</v>
      </c>
      <c r="J301" s="136"/>
      <c r="K301" s="101"/>
      <c r="L301" s="101"/>
      <c r="M301" s="101"/>
      <c r="N301" s="153">
        <f>N258</f>
        <v>13.83</v>
      </c>
      <c r="O301" s="101"/>
      <c r="P301" s="307">
        <f t="shared" ref="P301:R303" si="78">P297/$N$258-1</f>
        <v>0.61749819233550252</v>
      </c>
      <c r="Q301" s="307">
        <f t="shared" si="78"/>
        <v>0.76283441793203166</v>
      </c>
      <c r="R301" s="308">
        <f t="shared" si="78"/>
        <v>0.91757049891540121</v>
      </c>
      <c r="W301" s="49"/>
      <c r="X301" s="101"/>
      <c r="Y301" s="101"/>
      <c r="Z301" s="101"/>
      <c r="AA301" s="101"/>
      <c r="AB301" s="101"/>
      <c r="AC301" s="101"/>
      <c r="AD301" s="101"/>
    </row>
    <row r="302" spans="3:30" s="82" customFormat="1" x14ac:dyDescent="0.25">
      <c r="C302" s="160">
        <f t="shared" si="77"/>
        <v>84</v>
      </c>
      <c r="D302" s="160">
        <f t="shared" si="77"/>
        <v>100</v>
      </c>
      <c r="E302" s="160">
        <f t="shared" si="77"/>
        <v>118</v>
      </c>
      <c r="I302" s="178"/>
      <c r="J302" s="136"/>
      <c r="K302" s="101"/>
      <c r="L302" s="101"/>
      <c r="M302" s="101"/>
      <c r="N302" s="101"/>
      <c r="O302" s="101"/>
      <c r="P302" s="307">
        <f t="shared" si="78"/>
        <v>0.83658712942877789</v>
      </c>
      <c r="Q302" s="307">
        <f t="shared" si="78"/>
        <v>1.0028922631959509</v>
      </c>
      <c r="R302" s="308">
        <f t="shared" si="78"/>
        <v>1.1793203181489518</v>
      </c>
      <c r="W302" s="49"/>
      <c r="X302" s="101"/>
      <c r="Y302" s="101"/>
      <c r="Z302" s="101"/>
      <c r="AA302" s="101"/>
      <c r="AB302" s="101"/>
      <c r="AC302" s="101"/>
      <c r="AD302" s="101"/>
    </row>
    <row r="303" spans="3:30" s="82" customFormat="1" x14ac:dyDescent="0.25">
      <c r="C303" s="160">
        <f t="shared" si="77"/>
        <v>128</v>
      </c>
      <c r="D303" s="160">
        <f t="shared" si="77"/>
        <v>148</v>
      </c>
      <c r="E303" s="160">
        <f t="shared" si="77"/>
        <v>170</v>
      </c>
      <c r="I303" s="178"/>
      <c r="J303" s="136"/>
      <c r="K303" s="101"/>
      <c r="L303" s="101"/>
      <c r="M303" s="101"/>
      <c r="N303" s="101"/>
      <c r="O303" s="101"/>
      <c r="P303" s="307">
        <f t="shared" si="78"/>
        <v>1.2754880694143167</v>
      </c>
      <c r="Q303" s="307">
        <f t="shared" si="78"/>
        <v>1.483007953723789</v>
      </c>
      <c r="R303" s="308">
        <f t="shared" si="78"/>
        <v>1.7042660882140273</v>
      </c>
      <c r="W303" s="49"/>
      <c r="X303" s="101"/>
      <c r="Y303" s="101"/>
      <c r="Z303" s="101"/>
      <c r="AA303" s="101"/>
      <c r="AB303" s="101"/>
      <c r="AC303" s="101"/>
      <c r="AD303" s="101"/>
    </row>
    <row r="304" spans="3:30" s="82" customFormat="1" x14ac:dyDescent="0.25">
      <c r="I304" s="181"/>
      <c r="J304" s="138"/>
      <c r="K304" s="111"/>
      <c r="L304" s="111"/>
      <c r="M304" s="111"/>
      <c r="N304" s="111"/>
      <c r="O304" s="111"/>
      <c r="P304" s="182"/>
      <c r="Q304" s="182"/>
      <c r="R304" s="183"/>
      <c r="W304" s="49"/>
      <c r="X304" s="101"/>
      <c r="Y304" s="101"/>
      <c r="Z304" s="101"/>
      <c r="AA304" s="101"/>
      <c r="AB304" s="101"/>
      <c r="AC304" s="101"/>
      <c r="AD304" s="101"/>
    </row>
    <row r="305" spans="9:30" s="82" customFormat="1" x14ac:dyDescent="0.25">
      <c r="I305" s="410" t="s">
        <v>8736</v>
      </c>
      <c r="J305" s="136"/>
      <c r="K305" s="101"/>
      <c r="L305" s="101"/>
      <c r="M305" s="101"/>
      <c r="N305" s="101"/>
      <c r="O305" s="101"/>
      <c r="P305" s="130"/>
      <c r="Q305" s="130"/>
      <c r="R305" s="130"/>
      <c r="W305" s="49"/>
      <c r="X305" s="101"/>
      <c r="Y305" s="101"/>
      <c r="Z305" s="101"/>
      <c r="AA305" s="101"/>
      <c r="AB305" s="101"/>
      <c r="AC305" s="101"/>
      <c r="AD305" s="101"/>
    </row>
    <row r="306" spans="9:30" s="82" customFormat="1" x14ac:dyDescent="0.25">
      <c r="I306" s="263" t="s">
        <v>8679</v>
      </c>
      <c r="J306" s="136"/>
      <c r="K306" s="101"/>
      <c r="L306" s="101"/>
      <c r="M306" s="101"/>
      <c r="N306" s="101"/>
      <c r="O306" s="101"/>
      <c r="P306" s="130"/>
      <c r="Q306" s="130"/>
      <c r="R306" s="130"/>
      <c r="W306" s="49"/>
      <c r="X306" s="101"/>
      <c r="Y306" s="101"/>
      <c r="Z306" s="101"/>
      <c r="AA306" s="101"/>
      <c r="AB306" s="101"/>
      <c r="AC306" s="101"/>
      <c r="AD306" s="101"/>
    </row>
    <row r="307" spans="9:30" s="82" customFormat="1" x14ac:dyDescent="0.25">
      <c r="I307" s="154" t="str">
        <f>"**Assumes $"&amp;E290&amp;"m in market value of 5% convertible notes due July 2014 are settled pre-turnaround using a portion of $"&amp;E291&amp;"m in current cash"</f>
        <v>**Assumes $m in market value of 5% convertible notes due July 2014 are settled pre-turnaround using a portion of $186m in current cash</v>
      </c>
      <c r="J307" s="136"/>
      <c r="K307" s="101"/>
      <c r="L307" s="101"/>
      <c r="M307" s="101"/>
      <c r="N307" s="101"/>
      <c r="O307" s="101"/>
      <c r="P307" s="130"/>
      <c r="Q307" s="130"/>
      <c r="R307" s="130"/>
      <c r="W307" s="49"/>
      <c r="X307" s="101"/>
      <c r="Y307" s="101"/>
      <c r="Z307" s="101"/>
      <c r="AA307" s="101"/>
      <c r="AB307" s="101"/>
      <c r="AC307" s="101"/>
      <c r="AD307" s="101"/>
    </row>
    <row r="308" spans="9:30" collapsed="1" x14ac:dyDescent="0.25"/>
  </sheetData>
  <mergeCells count="32">
    <mergeCell ref="Z167:Z169"/>
    <mergeCell ref="U167:U169"/>
    <mergeCell ref="V167:V169"/>
    <mergeCell ref="W167:W169"/>
    <mergeCell ref="T189:T191"/>
    <mergeCell ref="U189:U191"/>
    <mergeCell ref="V189:V191"/>
    <mergeCell ref="W189:W191"/>
    <mergeCell ref="T2:W2"/>
    <mergeCell ref="Y2:AC2"/>
    <mergeCell ref="AA211:AA213"/>
    <mergeCell ref="AB211:AB213"/>
    <mergeCell ref="AC211:AC213"/>
    <mergeCell ref="Z189:Z191"/>
    <mergeCell ref="AA189:AA191"/>
    <mergeCell ref="AB189:AB191"/>
    <mergeCell ref="AC189:AC191"/>
    <mergeCell ref="U211:U213"/>
    <mergeCell ref="Z211:Z213"/>
    <mergeCell ref="AA167:AA169"/>
    <mergeCell ref="AB167:AB169"/>
    <mergeCell ref="AC167:AC169"/>
    <mergeCell ref="Y189:Y191"/>
    <mergeCell ref="Y167:Y169"/>
    <mergeCell ref="Y211:Y213"/>
    <mergeCell ref="R167:R169"/>
    <mergeCell ref="R189:R191"/>
    <mergeCell ref="R211:R213"/>
    <mergeCell ref="T167:T169"/>
    <mergeCell ref="V211:V213"/>
    <mergeCell ref="W211:W213"/>
    <mergeCell ref="T211:T213"/>
  </mergeCells>
  <hyperlinks>
    <hyperlink ref="A5" r:id="rId1"/>
  </hyperlinks>
  <pageMargins left="0.78740157480314965" right="0.78740157480314965" top="1.3779527559055118" bottom="0.59055118110236227" header="0.39370078740157483" footer="0.31496062992125984"/>
  <pageSetup paperSize="9" orientation="portrait" r:id="rId2"/>
  <headerFooter scaleWithDoc="0">
    <oddHeader>&amp;L&amp;G</oddHeader>
  </headerFooter>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2:R193"/>
  <sheetViews>
    <sheetView showGridLines="0" topLeftCell="B1" zoomScale="80" zoomScaleNormal="80" workbookViewId="0">
      <selection activeCell="B2" sqref="A2:XFD2"/>
    </sheetView>
  </sheetViews>
  <sheetFormatPr defaultColWidth="13" defaultRowHeight="15" outlineLevelRow="1" x14ac:dyDescent="0.25"/>
  <cols>
    <col min="1" max="1" width="0" style="15" hidden="1" customWidth="1"/>
    <col min="2" max="2" width="13" style="15"/>
    <col min="3" max="3" width="59.5703125" style="15" customWidth="1"/>
    <col min="4" max="4" width="22.7109375" style="15" customWidth="1"/>
    <col min="5" max="7" width="22.5703125" style="15" customWidth="1"/>
    <col min="8" max="16384" width="13" style="15"/>
  </cols>
  <sheetData>
    <row r="2" spans="1:8" x14ac:dyDescent="0.25">
      <c r="C2" s="15" t="s">
        <v>8820</v>
      </c>
    </row>
    <row r="4" spans="1:8" x14ac:dyDescent="0.25">
      <c r="C4" s="447" t="s">
        <v>8843</v>
      </c>
      <c r="D4" s="445"/>
      <c r="E4" s="445"/>
      <c r="F4" s="445"/>
      <c r="G4" s="478"/>
    </row>
    <row r="5" spans="1:8" x14ac:dyDescent="0.25">
      <c r="C5" s="523"/>
      <c r="D5" s="524"/>
      <c r="E5" s="524"/>
      <c r="F5" s="524"/>
      <c r="G5" s="525"/>
    </row>
    <row r="6" spans="1:8" x14ac:dyDescent="0.25">
      <c r="A6" s="578">
        <f>ROUND(G6*100,0)</f>
        <v>76</v>
      </c>
      <c r="C6" s="526" t="str">
        <f>"The North American Value segment within Regis. Corp. generated "&amp;A6&amp;"% of the company's overall sales in the last 12 months"</f>
        <v>The North American Value segment within Regis. Corp. generated 76% of the company's overall sales in the last 12 months</v>
      </c>
      <c r="D6" s="522"/>
      <c r="E6" s="522"/>
      <c r="F6" s="522"/>
      <c r="G6" s="583">
        <f>SUM('Regis Corp. model'!M154:P154)/SUM('Regis Corp. model'!M157:P157)</f>
        <v>0.7567857530561507</v>
      </c>
    </row>
    <row r="7" spans="1:8" x14ac:dyDescent="0.25">
      <c r="C7" s="526" t="s">
        <v>8829</v>
      </c>
      <c r="D7" s="522"/>
      <c r="E7" s="522"/>
      <c r="F7" s="522"/>
      <c r="G7" s="529"/>
    </row>
    <row r="8" spans="1:8" x14ac:dyDescent="0.25">
      <c r="C8" s="526"/>
      <c r="D8" s="522"/>
      <c r="E8" s="522"/>
      <c r="F8" s="522"/>
      <c r="G8" s="529"/>
    </row>
    <row r="9" spans="1:8" x14ac:dyDescent="0.25">
      <c r="A9" s="578">
        <f>ROUND(G9/1000,0)</f>
        <v>267</v>
      </c>
      <c r="C9" s="526" t="str">
        <f>"In the year ended June 2012, the average company-owned (or 'corporate') Supercuts generated $"&amp;A9&amp;"k in sales…"</f>
        <v>In the year ended June 2012, the average company-owned (or 'corporate') Supercuts generated $267k in sales…</v>
      </c>
      <c r="D9" s="522"/>
      <c r="E9" s="522"/>
      <c r="F9" s="522"/>
      <c r="G9" s="530">
        <f>G88</f>
        <v>266923</v>
      </c>
    </row>
    <row r="10" spans="1:8" x14ac:dyDescent="0.25">
      <c r="A10" s="578">
        <f>ROUND(G10/1000,0)</f>
        <v>334</v>
      </c>
      <c r="C10" s="526" t="str">
        <f>"…versus $"&amp;A10&amp;"k in sales at the average franchised Supercuts salon"</f>
        <v>…versus $334k in sales at the average franchised Supercuts salon</v>
      </c>
      <c r="D10" s="522"/>
      <c r="E10" s="522"/>
      <c r="F10" s="522"/>
      <c r="G10" s="530">
        <f>G164</f>
        <v>333879</v>
      </c>
      <c r="H10" s="322"/>
    </row>
    <row r="11" spans="1:8" x14ac:dyDescent="0.25">
      <c r="A11" s="578"/>
      <c r="C11" s="526"/>
      <c r="D11" s="522"/>
      <c r="E11" s="522"/>
      <c r="F11" s="522"/>
      <c r="G11" s="529"/>
      <c r="H11" s="324"/>
    </row>
    <row r="12" spans="1:8" x14ac:dyDescent="0.25">
      <c r="A12" s="578">
        <f>ROUND(G12/1000,0)</f>
        <v>20</v>
      </c>
      <c r="C12" s="526" t="str">
        <f>"And despite the franchised salon paying a franchise fee of $"&amp;A12&amp;"k per year..."</f>
        <v>And despite the franchised salon paying a franchise fee of $20k per year...</v>
      </c>
      <c r="D12" s="522"/>
      <c r="E12" s="522"/>
      <c r="F12" s="522"/>
      <c r="G12" s="530">
        <f>ROUND(G177,0)</f>
        <v>20033</v>
      </c>
      <c r="H12" s="324"/>
    </row>
    <row r="13" spans="1:8" x14ac:dyDescent="0.25">
      <c r="A13" s="578"/>
      <c r="C13" s="526"/>
      <c r="D13" s="522"/>
      <c r="E13" s="522"/>
      <c r="F13" s="522"/>
      <c r="G13" s="529"/>
      <c r="H13" s="324"/>
    </row>
    <row r="14" spans="1:8" x14ac:dyDescent="0.25">
      <c r="A14" s="578">
        <f t="shared" ref="A14:A15" si="0">ROUND(G14/1000,0)</f>
        <v>76</v>
      </c>
      <c r="C14" s="526" t="str">
        <f>"…the sales differential allowed the average franchisee to generate an estimated $"&amp;A14&amp;"k in operating cash flow…"</f>
        <v>…the sales differential allowed the average franchisee to generate an estimated $76k in operating cash flow…</v>
      </c>
      <c r="D14" s="522"/>
      <c r="E14" s="522"/>
      <c r="F14" s="522"/>
      <c r="G14" s="584">
        <f>ROUND(G175,0)</f>
        <v>75854</v>
      </c>
      <c r="H14" s="145"/>
    </row>
    <row r="15" spans="1:8" x14ac:dyDescent="0.25">
      <c r="A15" s="578">
        <f t="shared" si="0"/>
        <v>67</v>
      </c>
      <c r="C15" s="528" t="str">
        <f>"…versus operating cash flow of $"&amp;A15&amp;"k in the average corporate salon"</f>
        <v>…versus operating cash flow of $67k in the average corporate salon</v>
      </c>
      <c r="D15" s="527"/>
      <c r="E15" s="527"/>
      <c r="F15" s="527"/>
      <c r="G15" s="531">
        <f>G102</f>
        <v>67258</v>
      </c>
    </row>
    <row r="16" spans="1:8" s="522" customFormat="1" x14ac:dyDescent="0.25"/>
    <row r="17" spans="1:7" x14ac:dyDescent="0.25">
      <c r="C17" s="589" t="s">
        <v>8838</v>
      </c>
      <c r="D17" s="595"/>
      <c r="E17" s="595"/>
      <c r="F17" s="595"/>
      <c r="G17" s="596"/>
    </row>
    <row r="18" spans="1:7" x14ac:dyDescent="0.25">
      <c r="C18" s="592" t="s">
        <v>8830</v>
      </c>
      <c r="D18" s="597"/>
      <c r="E18" s="597"/>
      <c r="F18" s="597"/>
      <c r="G18" s="598"/>
    </row>
    <row r="19" spans="1:7" x14ac:dyDescent="0.25">
      <c r="C19" s="526"/>
      <c r="D19" s="522"/>
      <c r="E19" s="522"/>
      <c r="F19" s="522"/>
      <c r="G19" s="529"/>
    </row>
    <row r="20" spans="1:7" x14ac:dyDescent="0.25">
      <c r="A20" s="578">
        <f t="shared" ref="A20" si="1">ROUND(G20/1000,0)</f>
        <v>35</v>
      </c>
      <c r="C20" s="526" t="str">
        <f>"For example, suppose Regis Corp. management approached a successful Great Clips salon manager earning $"&amp;A20&amp;"k per year…"</f>
        <v>For example, suppose Regis Corp. management approached a successful Great Clips salon manager earning $35k per year…</v>
      </c>
      <c r="D20" s="522"/>
      <c r="E20" s="522"/>
      <c r="F20" s="522"/>
      <c r="G20" s="584">
        <v>35000</v>
      </c>
    </row>
    <row r="21" spans="1:7" x14ac:dyDescent="0.25">
      <c r="A21" s="578">
        <f>ROUND(G21*100,0)</f>
        <v>50</v>
      </c>
      <c r="C21" s="526" t="str">
        <f>"…and offered the same salary plus "&amp;A21&amp;"% of the $"&amp;A12&amp;"k franchise fee a corporate Supercuts doesn't have to pay…"</f>
        <v>…and offered the same salary plus 50% of the $20k franchise fee a corporate Supercuts doesn't have to pay…</v>
      </c>
      <c r="D21" s="522"/>
      <c r="E21" s="522"/>
      <c r="F21" s="522"/>
      <c r="G21" s="585">
        <v>0.5</v>
      </c>
    </row>
    <row r="22" spans="1:7" x14ac:dyDescent="0.25">
      <c r="C22" s="526" t="str">
        <f>"…provided the salon manager grows sales at the underperforming Supercuts from $"&amp;A9&amp;"k to $"&amp;A10&amp;"k"</f>
        <v>…provided the salon manager grows sales at the underperforming Supercuts from $267k to $334k</v>
      </c>
      <c r="D22" s="522"/>
      <c r="E22" s="522"/>
      <c r="F22" s="522"/>
      <c r="G22" s="529"/>
    </row>
    <row r="23" spans="1:7" x14ac:dyDescent="0.25">
      <c r="C23" s="526"/>
      <c r="D23" s="522"/>
      <c r="E23" s="522"/>
      <c r="F23" s="522"/>
      <c r="G23" s="529"/>
    </row>
    <row r="24" spans="1:7" x14ac:dyDescent="0.25">
      <c r="A24" s="578">
        <f t="shared" ref="A24" si="2">ROUND(G24/1000,0)</f>
        <v>10</v>
      </c>
      <c r="C24" s="526" t="str">
        <f>"In this case, Regis Corp. has given a high-performing Great Clips salon manager the ability to earn an extra $"&amp;A24&amp;"k per year…"</f>
        <v>In this case, Regis Corp. has given a high-performing Great Clips salon manager the ability to earn an extra $10k per year…</v>
      </c>
      <c r="D24" s="522"/>
      <c r="E24" s="522"/>
      <c r="F24" s="522"/>
      <c r="G24" s="530">
        <f>ROUND(G21*G12,0)</f>
        <v>10017</v>
      </c>
    </row>
    <row r="25" spans="1:7" x14ac:dyDescent="0.25">
      <c r="A25" s="578">
        <f>ROUND(G25*100,0)</f>
        <v>29</v>
      </c>
      <c r="C25" s="526" t="str">
        <f>"…or an annual salary increase of "&amp;A25&amp;"% in exchange for the short-term hassle of fixing a troubled value salon"</f>
        <v>…or an annual salary increase of 29% in exchange for the short-term hassle of fixing a troubled value salon</v>
      </c>
      <c r="D25" s="522"/>
      <c r="E25" s="522"/>
      <c r="F25" s="522"/>
      <c r="G25" s="586">
        <f>(G20+G24)/G20-1</f>
        <v>0.28620000000000001</v>
      </c>
    </row>
    <row r="26" spans="1:7" x14ac:dyDescent="0.25">
      <c r="C26" s="526"/>
      <c r="D26" s="522"/>
      <c r="E26" s="522"/>
      <c r="F26" s="522"/>
      <c r="G26" s="529"/>
    </row>
    <row r="27" spans="1:7" x14ac:dyDescent="0.25">
      <c r="A27" s="578">
        <f t="shared" ref="A27" si="3">ROUND(G27/1000,0)</f>
        <v>9</v>
      </c>
      <c r="C27" s="526" t="str">
        <f>"If the corporate salon turnaround is successful, Regis Corp. captures the existing $"&amp;A27&amp;"k corporate vs. franchise cash flow diff…"</f>
        <v>If the corporate salon turnaround is successful, Regis Corp. captures the existing $9k corporate vs. franchise cash flow diff…</v>
      </c>
      <c r="D27" s="522"/>
      <c r="E27" s="522"/>
      <c r="F27" s="522"/>
      <c r="G27" s="530">
        <f>G14-G15</f>
        <v>8596</v>
      </c>
    </row>
    <row r="28" spans="1:7" x14ac:dyDescent="0.25">
      <c r="A28" s="578">
        <f>ROUND((1-G21)*100,0)</f>
        <v>50</v>
      </c>
      <c r="C28" s="526" t="str">
        <f>"…and "&amp;A28&amp;"% of the $"&amp;A12&amp;"k unpaid franchise fee that the salon captured but did not share with the new Supercuts manager"</f>
        <v>…and 50% of the $20k unpaid franchise fee that the salon captured but did not share with the new Supercuts manager</v>
      </c>
      <c r="D28" s="522"/>
      <c r="E28" s="522"/>
      <c r="F28" s="522"/>
      <c r="G28" s="530">
        <f>(1-G21)*G12</f>
        <v>10016.5</v>
      </c>
    </row>
    <row r="29" spans="1:7" x14ac:dyDescent="0.25">
      <c r="C29" s="526"/>
      <c r="D29" s="522"/>
      <c r="E29" s="522"/>
      <c r="F29" s="522"/>
      <c r="G29" s="529"/>
    </row>
    <row r="30" spans="1:7" x14ac:dyDescent="0.25">
      <c r="A30" s="578">
        <f t="shared" ref="A30" si="4">ROUND(G30/1000,0)</f>
        <v>19</v>
      </c>
      <c r="C30" s="526" t="str">
        <f>"If all "&amp;'Regis Corp. model'!N550&amp;" corporate Supercuts salons were to realize this additional $"&amp;A30&amp;"k in operating cash flow per year..."</f>
        <v>If all 1182 corporate Supercuts salons were to realize this additional $19k in operating cash flow per year...</v>
      </c>
      <c r="D30" s="522"/>
      <c r="E30" s="522"/>
      <c r="F30" s="522"/>
      <c r="G30" s="530">
        <f>G27+G28</f>
        <v>18612.5</v>
      </c>
    </row>
    <row r="31" spans="1:7" x14ac:dyDescent="0.25">
      <c r="A31" s="578">
        <f>ROUND(G31/1000000,0)</f>
        <v>22</v>
      </c>
      <c r="C31" s="526" t="str">
        <f>"…all else constant, Regis Corp.'s run-rate EBIT would rise by $"&amp;A31&amp;"m per year"</f>
        <v>…all else constant, Regis Corp.'s run-rate EBIT would rise by $22m per year</v>
      </c>
      <c r="D31" s="522"/>
      <c r="E31" s="522"/>
      <c r="F31" s="522"/>
      <c r="G31" s="530">
        <f>G30*'Regis Corp. model'!N550</f>
        <v>21999975</v>
      </c>
    </row>
    <row r="32" spans="1:7" x14ac:dyDescent="0.25">
      <c r="C32" s="526"/>
      <c r="D32" s="522"/>
      <c r="E32" s="522"/>
      <c r="F32" s="522"/>
      <c r="G32" s="529"/>
    </row>
    <row r="33" spans="1:18" x14ac:dyDescent="0.25">
      <c r="C33" s="526" t="str">
        <f>"If all "&amp;G33&amp;" corporate salons within the North American Value segment were to realize this additional $"&amp;A30&amp;"k in OCF per year…"</f>
        <v>If all 6132 corporate salons within the North American Value segment were to realize this additional $19k in OCF per year…</v>
      </c>
      <c r="D33" s="522"/>
      <c r="E33" s="522"/>
      <c r="F33" s="522"/>
      <c r="G33" s="587">
        <f>'Regis Corp. model'!N576-'Regis Corp. model'!N511</f>
        <v>6132</v>
      </c>
    </row>
    <row r="34" spans="1:18" x14ac:dyDescent="0.25">
      <c r="A34" s="578">
        <f>ROUND(G34/1000000,0)</f>
        <v>114</v>
      </c>
      <c r="C34" s="526" t="str">
        <f>"…all else constant, Regis Corp.'s run-rate EBIT would rise by $"&amp;A34&amp;"m per year"</f>
        <v>…all else constant, Regis Corp.'s run-rate EBIT would rise by $114m per year</v>
      </c>
      <c r="D34" s="522"/>
      <c r="E34" s="522"/>
      <c r="F34" s="522"/>
      <c r="G34" s="530">
        <f>G30*G33</f>
        <v>114131850</v>
      </c>
    </row>
    <row r="35" spans="1:18" x14ac:dyDescent="0.25">
      <c r="C35" s="526"/>
      <c r="D35" s="522"/>
      <c r="E35" s="522"/>
      <c r="F35" s="522"/>
      <c r="G35" s="529"/>
    </row>
    <row r="36" spans="1:18" x14ac:dyDescent="0.25">
      <c r="A36" s="578">
        <f>ROUND(G36/1000000,0)</f>
        <v>9</v>
      </c>
      <c r="C36" s="526" t="str">
        <f>"Regis Corp. generated adjusted EBIT of $"&amp;A36&amp;"m in the last 12 months"</f>
        <v>Regis Corp. generated adjusted EBIT of $9m in the last 12 months</v>
      </c>
      <c r="D36" s="522"/>
      <c r="E36" s="522"/>
      <c r="F36" s="522"/>
      <c r="G36" s="530">
        <f>SUM('Regis Corp. model'!K85:N85)*1000000</f>
        <v>9350999.9999997709</v>
      </c>
    </row>
    <row r="37" spans="1:18" x14ac:dyDescent="0.25">
      <c r="A37" s="578">
        <f>ROUND(G37/1000000,0)</f>
        <v>97</v>
      </c>
      <c r="C37" s="526" t="str">
        <f>"Adding $"&amp;A37&amp;"m in depreciation and amortization…"</f>
        <v>Adding $97m in depreciation and amortization…</v>
      </c>
      <c r="D37" s="522"/>
      <c r="E37" s="522"/>
      <c r="F37" s="522"/>
      <c r="G37" s="588">
        <f>SUM('Regis Corp. model'!R82:U82)*1000000</f>
        <v>96806604.656888917</v>
      </c>
    </row>
    <row r="38" spans="1:18" x14ac:dyDescent="0.25">
      <c r="A38" s="578">
        <f>ROUND(G38/1000000,0)</f>
        <v>106</v>
      </c>
      <c r="C38" s="526" t="str">
        <f>"…yields Regis Corp.'s current run-rate EBITDA of $"&amp;A38&amp;"m per year"</f>
        <v>…yields Regis Corp.'s current run-rate EBITDA of $106m per year</v>
      </c>
      <c r="D38" s="522"/>
      <c r="E38" s="522"/>
      <c r="F38" s="522"/>
      <c r="G38" s="530">
        <f>SUM(G36:G37)</f>
        <v>106157604.65688869</v>
      </c>
    </row>
    <row r="39" spans="1:18" x14ac:dyDescent="0.25">
      <c r="C39" s="526"/>
      <c r="D39" s="522"/>
      <c r="E39" s="522"/>
      <c r="F39" s="522"/>
      <c r="G39" s="529"/>
    </row>
    <row r="40" spans="1:18" x14ac:dyDescent="0.25">
      <c r="A40" s="578">
        <f>ROUND(F41/1000000,0)</f>
        <v>128</v>
      </c>
      <c r="C40" s="526" t="str">
        <f>"Adding $"&amp;A31&amp;"m to $"&amp;A34&amp;"m in incremental EBIT due to turnaround success in the NA Value segment..."</f>
        <v>Adding $22m to $114m in incremental EBIT due to turnaround success in the NA Value segment...</v>
      </c>
      <c r="D40" s="522"/>
      <c r="E40" s="522"/>
      <c r="F40" s="562">
        <f>G31</f>
        <v>21999975</v>
      </c>
      <c r="G40" s="531">
        <f>G34</f>
        <v>114131850</v>
      </c>
    </row>
    <row r="41" spans="1:18" x14ac:dyDescent="0.25">
      <c r="A41" s="578">
        <f>ROUND(G41/1000000,0)</f>
        <v>220</v>
      </c>
      <c r="C41" s="528" t="str">
        <f>"…would grow run-rate EBITDA to somewhere in the range of $"&amp;A40&amp;"m to $"&amp;A41&amp;"m per year"</f>
        <v>…would grow run-rate EBITDA to somewhere in the range of $128m to $220m per year</v>
      </c>
      <c r="D41" s="527"/>
      <c r="E41" s="527"/>
      <c r="F41" s="562">
        <f>G38+F40</f>
        <v>128157579.65688869</v>
      </c>
      <c r="G41" s="531">
        <f>G38+G40</f>
        <v>220289454.65688869</v>
      </c>
    </row>
    <row r="43" spans="1:18" x14ac:dyDescent="0.25">
      <c r="C43" s="579" t="s">
        <v>8844</v>
      </c>
      <c r="D43" s="580"/>
      <c r="E43" s="580"/>
      <c r="F43" s="580"/>
      <c r="G43" s="581"/>
      <c r="H43" s="522"/>
      <c r="I43" s="522"/>
      <c r="J43" s="522"/>
      <c r="K43" s="522"/>
      <c r="L43" s="522"/>
      <c r="M43" s="522"/>
      <c r="N43" s="522"/>
      <c r="O43" s="522"/>
      <c r="P43" s="522"/>
      <c r="Q43" s="522"/>
      <c r="R43" s="522"/>
    </row>
    <row r="44" spans="1:18" x14ac:dyDescent="0.25">
      <c r="C44" s="523"/>
      <c r="D44" s="524"/>
      <c r="E44" s="524"/>
      <c r="F44" s="524"/>
      <c r="G44" s="525"/>
      <c r="H44" s="522"/>
      <c r="I44" s="522"/>
      <c r="J44" s="522"/>
      <c r="K44" s="522"/>
      <c r="L44" s="522"/>
      <c r="M44" s="522"/>
      <c r="N44" s="522"/>
      <c r="O44" s="522"/>
      <c r="P44" s="522"/>
      <c r="Q44" s="522"/>
      <c r="R44" s="522"/>
    </row>
    <row r="45" spans="1:18" x14ac:dyDescent="0.25">
      <c r="C45" s="177" t="str">
        <f>"If the Regis Corp. enterprise traded at "&amp;E45&amp;"x-"&amp;E47&amp;"x run-rate EBITDA*..."</f>
        <v>If the Regis Corp. enterprise traded at 6.5x-10x run-rate EBITDA*...</v>
      </c>
      <c r="D45" s="136"/>
      <c r="E45" s="129">
        <v>6.5</v>
      </c>
      <c r="F45" s="290">
        <f t="shared" ref="F45:G47" si="5">ROUND($E45*F$41/1000000,0)</f>
        <v>833</v>
      </c>
      <c r="G45" s="291">
        <f t="shared" si="5"/>
        <v>1432</v>
      </c>
      <c r="H45" s="522"/>
      <c r="I45" s="101"/>
      <c r="J45" s="522"/>
      <c r="K45" s="522"/>
      <c r="L45" s="290"/>
      <c r="M45" s="522"/>
      <c r="N45" s="522"/>
      <c r="O45" s="522"/>
      <c r="P45" s="522"/>
      <c r="Q45" s="522"/>
      <c r="R45" s="522"/>
    </row>
    <row r="46" spans="1:18" x14ac:dyDescent="0.25">
      <c r="C46" s="177" t="str">
        <f>"…it would be valued at $"&amp;F45&amp;"m-$"&amp;G47&amp;"m"</f>
        <v>…it would be valued at $833m-$2203m</v>
      </c>
      <c r="D46" s="136"/>
      <c r="E46" s="129">
        <v>8.5</v>
      </c>
      <c r="F46" s="290">
        <f t="shared" si="5"/>
        <v>1089</v>
      </c>
      <c r="G46" s="291">
        <f t="shared" si="5"/>
        <v>1872</v>
      </c>
      <c r="H46" s="522"/>
      <c r="I46" s="101"/>
      <c r="J46" s="522"/>
      <c r="K46" s="522"/>
      <c r="L46" s="290"/>
      <c r="M46" s="522"/>
      <c r="N46" s="522"/>
      <c r="O46" s="522"/>
      <c r="P46" s="522"/>
      <c r="Q46" s="522"/>
      <c r="R46" s="522"/>
    </row>
    <row r="47" spans="1:18" x14ac:dyDescent="0.25">
      <c r="C47" s="178"/>
      <c r="D47" s="136"/>
      <c r="E47" s="129">
        <v>10</v>
      </c>
      <c r="F47" s="290">
        <f t="shared" si="5"/>
        <v>1282</v>
      </c>
      <c r="G47" s="291">
        <f t="shared" si="5"/>
        <v>2203</v>
      </c>
      <c r="H47" s="522"/>
      <c r="I47" s="101"/>
      <c r="J47" s="522"/>
      <c r="K47" s="522"/>
      <c r="L47" s="290"/>
      <c r="M47" s="522"/>
      <c r="N47" s="522"/>
      <c r="O47" s="522"/>
      <c r="P47" s="522"/>
      <c r="Q47" s="522"/>
      <c r="R47" s="522"/>
    </row>
    <row r="48" spans="1:18" x14ac:dyDescent="0.25">
      <c r="C48" s="178"/>
      <c r="D48" s="136"/>
      <c r="E48" s="101"/>
      <c r="F48" s="290"/>
      <c r="G48" s="291"/>
      <c r="H48" s="129"/>
      <c r="I48" s="101"/>
      <c r="J48" s="290"/>
      <c r="K48" s="290"/>
      <c r="L48" s="290"/>
      <c r="M48" s="522"/>
      <c r="N48" s="522"/>
      <c r="O48" s="522"/>
      <c r="P48" s="522"/>
      <c r="Q48" s="522"/>
      <c r="R48" s="522"/>
    </row>
    <row r="49" spans="1:18" x14ac:dyDescent="0.25">
      <c r="C49" s="177" t="str">
        <f>"In this scenario, Regis Corp.'s equity** would trade for $"&amp;F49&amp;"m-$"&amp;G51&amp;"m..."</f>
        <v>In this scenario, Regis Corp.'s equity** would trade for $899m-$2269m...</v>
      </c>
      <c r="D49" s="136"/>
      <c r="E49" s="101"/>
      <c r="F49" s="290">
        <f>ROUND(F45+'Regis Corp. model'!$P$109-SUM('Regis Corp. model'!$P$474,'Regis Corp. model'!$P$488,'Regis Corp. model'!$P$495),0)</f>
        <v>899</v>
      </c>
      <c r="G49" s="291">
        <f>ROUND(G45+'Regis Corp. model'!$P$109-SUM('Regis Corp. model'!$P$474,'Regis Corp. model'!$P$488,'Regis Corp. model'!$P$495),0)</f>
        <v>1498</v>
      </c>
      <c r="H49" s="101"/>
      <c r="I49" s="101"/>
      <c r="J49" s="522"/>
      <c r="K49" s="522"/>
      <c r="L49" s="290"/>
      <c r="M49" s="522"/>
      <c r="N49" s="522"/>
      <c r="O49" s="522"/>
      <c r="P49" s="522"/>
      <c r="Q49" s="522"/>
      <c r="R49" s="522"/>
    </row>
    <row r="50" spans="1:18" x14ac:dyDescent="0.25">
      <c r="C50" s="179"/>
      <c r="D50" s="136"/>
      <c r="E50" s="101"/>
      <c r="F50" s="290">
        <f>ROUND(F46+'Regis Corp. model'!$P$109-SUM('Regis Corp. model'!$P$474,'Regis Corp. model'!$P$488,'Regis Corp. model'!$P$495),0)</f>
        <v>1155</v>
      </c>
      <c r="G50" s="291">
        <f>ROUND(G46+'Regis Corp. model'!$P$109-SUM('Regis Corp. model'!$P$474,'Regis Corp. model'!$P$488,'Regis Corp. model'!$P$495),0)</f>
        <v>1938</v>
      </c>
      <c r="H50" s="101"/>
      <c r="I50" s="101"/>
      <c r="J50" s="522"/>
      <c r="K50" s="522"/>
      <c r="L50" s="290"/>
      <c r="M50" s="522"/>
      <c r="N50" s="522"/>
      <c r="O50" s="522"/>
      <c r="P50" s="522"/>
      <c r="Q50" s="522"/>
      <c r="R50" s="522"/>
    </row>
    <row r="51" spans="1:18" x14ac:dyDescent="0.25">
      <c r="C51" s="179"/>
      <c r="D51" s="136"/>
      <c r="E51" s="101"/>
      <c r="F51" s="290">
        <f>ROUND(F47+'Regis Corp. model'!$P$109-SUM('Regis Corp. model'!$P$474,'Regis Corp. model'!$P$488,'Regis Corp. model'!$P$495),0)</f>
        <v>1348</v>
      </c>
      <c r="G51" s="291">
        <f>ROUND(G47+'Regis Corp. model'!$P$109-SUM('Regis Corp. model'!$P$474,'Regis Corp. model'!$P$488,'Regis Corp. model'!$P$495),0)</f>
        <v>2269</v>
      </c>
      <c r="H51" s="101"/>
      <c r="I51" s="101"/>
      <c r="J51" s="522"/>
      <c r="K51" s="522"/>
      <c r="L51" s="290"/>
      <c r="M51" s="522"/>
      <c r="N51" s="522"/>
      <c r="O51" s="522"/>
      <c r="P51" s="522"/>
      <c r="Q51" s="522"/>
      <c r="R51" s="522"/>
    </row>
    <row r="52" spans="1:18" x14ac:dyDescent="0.25">
      <c r="C52" s="178"/>
      <c r="D52" s="136"/>
      <c r="E52" s="101"/>
      <c r="F52" s="101"/>
      <c r="G52" s="288"/>
      <c r="H52" s="101"/>
      <c r="I52" s="101"/>
      <c r="J52" s="109"/>
      <c r="K52" s="101"/>
      <c r="L52" s="109"/>
      <c r="M52" s="522"/>
      <c r="N52" s="522"/>
      <c r="O52" s="522"/>
      <c r="P52" s="522"/>
      <c r="Q52" s="522"/>
      <c r="R52" s="522"/>
    </row>
    <row r="53" spans="1:18" x14ac:dyDescent="0.25">
      <c r="C53" s="177" t="str">
        <f>"…which equates to an RGS share price of $"&amp;F53&amp;" - $"&amp;G55&amp;"…"</f>
        <v>…which equates to an RGS share price of $15.91 - $40.16…</v>
      </c>
      <c r="D53" s="136"/>
      <c r="E53" s="101"/>
      <c r="F53" s="305">
        <f>ROUND(F49/'Alien Capital'!$E$250,2)</f>
        <v>15.91</v>
      </c>
      <c r="G53" s="306">
        <f>ROUND(G49/'Alien Capital'!$E$250,2)</f>
        <v>26.51</v>
      </c>
      <c r="H53" s="101"/>
      <c r="I53" s="101"/>
      <c r="J53" s="522"/>
      <c r="K53" s="522"/>
      <c r="L53" s="305"/>
      <c r="M53" s="522"/>
      <c r="N53" s="522"/>
      <c r="O53" s="522"/>
      <c r="P53" s="522"/>
      <c r="Q53" s="522"/>
      <c r="R53" s="522"/>
    </row>
    <row r="54" spans="1:18" x14ac:dyDescent="0.25">
      <c r="C54" s="178"/>
      <c r="D54" s="136"/>
      <c r="E54" s="101"/>
      <c r="F54" s="305">
        <f>ROUND(F50/'Alien Capital'!$E$250,2)</f>
        <v>20.440000000000001</v>
      </c>
      <c r="G54" s="306">
        <f>ROUND(G50/'Alien Capital'!$E$250,2)</f>
        <v>34.299999999999997</v>
      </c>
      <c r="H54" s="101"/>
      <c r="I54" s="101"/>
      <c r="J54" s="522"/>
      <c r="K54" s="522"/>
      <c r="L54" s="305"/>
      <c r="M54" s="522"/>
      <c r="N54" s="522"/>
      <c r="O54" s="522"/>
      <c r="P54" s="522"/>
      <c r="Q54" s="522"/>
      <c r="R54" s="522"/>
    </row>
    <row r="55" spans="1:18" x14ac:dyDescent="0.25">
      <c r="C55" s="178"/>
      <c r="D55" s="136"/>
      <c r="E55" s="101"/>
      <c r="F55" s="305">
        <f>ROUND(F51/'Alien Capital'!$E$250,2)</f>
        <v>23.86</v>
      </c>
      <c r="G55" s="306">
        <f>ROUND(G51/'Alien Capital'!$E$250,2)</f>
        <v>40.159999999999997</v>
      </c>
      <c r="H55" s="101"/>
      <c r="I55" s="101"/>
      <c r="J55" s="522"/>
      <c r="K55" s="522"/>
      <c r="L55" s="305"/>
      <c r="M55" s="522"/>
      <c r="N55" s="522"/>
      <c r="O55" s="522"/>
      <c r="P55" s="522"/>
      <c r="Q55" s="522"/>
      <c r="R55" s="522"/>
    </row>
    <row r="56" spans="1:18" x14ac:dyDescent="0.25">
      <c r="C56" s="178"/>
      <c r="D56" s="136"/>
      <c r="E56" s="101"/>
      <c r="F56" s="101"/>
      <c r="G56" s="288"/>
      <c r="H56" s="101"/>
      <c r="I56" s="101"/>
      <c r="J56" s="305"/>
      <c r="K56" s="305"/>
      <c r="L56" s="305"/>
      <c r="M56" s="522"/>
      <c r="N56" s="522"/>
      <c r="O56" s="522"/>
      <c r="P56" s="522"/>
      <c r="Q56" s="522"/>
      <c r="R56" s="522"/>
    </row>
    <row r="57" spans="1:18" x14ac:dyDescent="0.25">
      <c r="A57" s="279">
        <f>ROUND(F57*100,0)</f>
        <v>15</v>
      </c>
      <c r="C57" s="177" t="str">
        <f>"…and a total return of +"&amp;A57&amp;"% to +"&amp;A58&amp;"% from a $"&amp;E57&amp;" share price"</f>
        <v>…and a total return of +15% to +190% from a $13.83 share price</v>
      </c>
      <c r="D57" s="136"/>
      <c r="E57" s="153">
        <f>'Alien Capital'!N258</f>
        <v>13.83</v>
      </c>
      <c r="F57" s="307">
        <f>F53/$E$57-1</f>
        <v>0.15039768618944316</v>
      </c>
      <c r="G57" s="308">
        <f>G53/$E$57-1</f>
        <v>0.91684743311641359</v>
      </c>
      <c r="H57" s="522"/>
      <c r="I57" s="101"/>
      <c r="J57" s="522"/>
      <c r="K57" s="522"/>
      <c r="L57" s="307"/>
      <c r="M57" s="522"/>
      <c r="N57" s="522"/>
      <c r="O57" s="522"/>
      <c r="P57" s="522"/>
      <c r="Q57" s="522"/>
      <c r="R57" s="522"/>
    </row>
    <row r="58" spans="1:18" x14ac:dyDescent="0.25">
      <c r="A58" s="279">
        <f>ROUND(G59*100,0)</f>
        <v>190</v>
      </c>
      <c r="C58" s="178"/>
      <c r="D58" s="136"/>
      <c r="E58" s="101"/>
      <c r="F58" s="307">
        <f t="shared" ref="F58:G59" si="6">F54/$E$57-1</f>
        <v>0.47794649313087501</v>
      </c>
      <c r="G58" s="308">
        <f t="shared" si="6"/>
        <v>1.4801156905278376</v>
      </c>
      <c r="H58" s="101"/>
      <c r="I58" s="101"/>
      <c r="J58" s="522"/>
      <c r="K58" s="522"/>
      <c r="L58" s="307"/>
      <c r="M58" s="522"/>
      <c r="N58" s="522"/>
      <c r="O58" s="522"/>
      <c r="P58" s="522"/>
      <c r="Q58" s="522"/>
      <c r="R58" s="522"/>
    </row>
    <row r="59" spans="1:18" x14ac:dyDescent="0.25">
      <c r="C59" s="178"/>
      <c r="D59" s="136"/>
      <c r="E59" s="101"/>
      <c r="F59" s="307">
        <f t="shared" si="6"/>
        <v>0.72523499638467093</v>
      </c>
      <c r="G59" s="308">
        <f t="shared" si="6"/>
        <v>1.9038322487346346</v>
      </c>
      <c r="H59" s="101"/>
      <c r="I59" s="101"/>
      <c r="J59" s="522"/>
      <c r="K59" s="522"/>
      <c r="L59" s="307"/>
      <c r="M59" s="522"/>
      <c r="N59" s="522"/>
      <c r="O59" s="522"/>
      <c r="P59" s="522"/>
      <c r="Q59" s="522"/>
      <c r="R59" s="522"/>
    </row>
    <row r="60" spans="1:18" x14ac:dyDescent="0.25">
      <c r="C60" s="181"/>
      <c r="D60" s="138"/>
      <c r="E60" s="111"/>
      <c r="F60" s="111"/>
      <c r="G60" s="192"/>
      <c r="H60" s="101"/>
      <c r="I60" s="101"/>
      <c r="J60" s="130"/>
      <c r="K60" s="130"/>
      <c r="L60" s="130"/>
      <c r="M60" s="522"/>
      <c r="N60" s="522"/>
      <c r="O60" s="522"/>
      <c r="P60" s="522"/>
      <c r="Q60" s="522"/>
      <c r="R60" s="522"/>
    </row>
    <row r="61" spans="1:18" x14ac:dyDescent="0.25">
      <c r="C61" s="582" t="s">
        <v>8839</v>
      </c>
    </row>
    <row r="62" spans="1:18" x14ac:dyDescent="0.25">
      <c r="C62" s="263" t="s">
        <v>8679</v>
      </c>
    </row>
    <row r="63" spans="1:18" x14ac:dyDescent="0.25">
      <c r="C63" s="582" t="s">
        <v>8842</v>
      </c>
    </row>
    <row r="65" spans="3:8" x14ac:dyDescent="0.25">
      <c r="C65" s="589" t="s">
        <v>8845</v>
      </c>
      <c r="D65" s="590"/>
      <c r="E65" s="590"/>
      <c r="F65" s="590"/>
      <c r="G65" s="591"/>
    </row>
    <row r="66" spans="3:8" x14ac:dyDescent="0.25">
      <c r="C66" s="592" t="s">
        <v>8831</v>
      </c>
      <c r="D66" s="593"/>
      <c r="E66" s="593"/>
      <c r="F66" s="593"/>
      <c r="G66" s="594"/>
    </row>
    <row r="68" spans="3:8" x14ac:dyDescent="0.25">
      <c r="C68" s="203" t="s">
        <v>8837</v>
      </c>
      <c r="D68" s="204"/>
      <c r="E68" s="204"/>
      <c r="F68" s="204"/>
      <c r="G68" s="569"/>
    </row>
    <row r="70" spans="3:8" x14ac:dyDescent="0.25">
      <c r="C70" s="17" t="s">
        <v>8818</v>
      </c>
      <c r="F70" s="577" t="s">
        <v>8783</v>
      </c>
      <c r="G70" s="577" t="s">
        <v>8784</v>
      </c>
    </row>
    <row r="71" spans="3:8" x14ac:dyDescent="0.25">
      <c r="C71" s="64" t="s">
        <v>8785</v>
      </c>
      <c r="D71" s="59"/>
      <c r="E71" s="59"/>
      <c r="F71" s="59">
        <v>291</v>
      </c>
      <c r="G71" s="574">
        <v>484706</v>
      </c>
    </row>
    <row r="72" spans="3:8" x14ac:dyDescent="0.25">
      <c r="C72" s="64" t="s">
        <v>8786</v>
      </c>
      <c r="D72" s="59"/>
      <c r="E72" s="59"/>
      <c r="F72" s="59">
        <v>291</v>
      </c>
      <c r="G72" s="574">
        <v>311479</v>
      </c>
    </row>
    <row r="73" spans="3:8" x14ac:dyDescent="0.25">
      <c r="C73" s="64" t="s">
        <v>8787</v>
      </c>
      <c r="D73" s="59"/>
      <c r="E73" s="59"/>
      <c r="F73" s="575">
        <v>290</v>
      </c>
      <c r="G73" s="576">
        <v>205011</v>
      </c>
    </row>
    <row r="74" spans="3:8" x14ac:dyDescent="0.25">
      <c r="C74" s="17" t="s">
        <v>8788</v>
      </c>
      <c r="D74" s="17"/>
      <c r="E74" s="17"/>
      <c r="F74" s="17">
        <f>SUM(F71:F73)</f>
        <v>872</v>
      </c>
      <c r="G74" s="563">
        <v>333879</v>
      </c>
    </row>
    <row r="76" spans="3:8" x14ac:dyDescent="0.25">
      <c r="C76" s="17" t="s">
        <v>8819</v>
      </c>
      <c r="F76" s="577" t="s">
        <v>8783</v>
      </c>
      <c r="G76" s="577" t="s">
        <v>8784</v>
      </c>
    </row>
    <row r="77" spans="3:8" x14ac:dyDescent="0.25">
      <c r="C77" s="64" t="s">
        <v>8785</v>
      </c>
      <c r="D77" s="59"/>
      <c r="E77" s="59"/>
      <c r="F77" s="59">
        <v>312</v>
      </c>
      <c r="G77" s="574">
        <v>390374</v>
      </c>
    </row>
    <row r="78" spans="3:8" x14ac:dyDescent="0.25">
      <c r="C78" s="64" t="s">
        <v>8786</v>
      </c>
      <c r="D78" s="59"/>
      <c r="E78" s="59"/>
      <c r="F78" s="59">
        <v>312</v>
      </c>
      <c r="G78" s="574">
        <v>242818</v>
      </c>
    </row>
    <row r="79" spans="3:8" x14ac:dyDescent="0.25">
      <c r="C79" s="64" t="s">
        <v>8787</v>
      </c>
      <c r="D79" s="59"/>
      <c r="E79" s="59"/>
      <c r="F79" s="575">
        <v>312</v>
      </c>
      <c r="G79" s="576">
        <v>167485</v>
      </c>
    </row>
    <row r="80" spans="3:8" x14ac:dyDescent="0.25">
      <c r="C80" s="17" t="s">
        <v>8789</v>
      </c>
      <c r="D80" s="17"/>
      <c r="E80" s="17"/>
      <c r="F80" s="17">
        <f>SUM(F77:F79)</f>
        <v>936</v>
      </c>
      <c r="G80" s="563">
        <v>266893</v>
      </c>
      <c r="H80" s="322"/>
    </row>
    <row r="82" spans="3:7" x14ac:dyDescent="0.25">
      <c r="C82" s="203" t="s">
        <v>8841</v>
      </c>
      <c r="D82" s="204"/>
      <c r="E82" s="204"/>
      <c r="F82" s="204"/>
      <c r="G82" s="569"/>
    </row>
    <row r="84" spans="3:7" x14ac:dyDescent="0.25">
      <c r="D84" s="577" t="s">
        <v>8787</v>
      </c>
      <c r="E84" s="577" t="s">
        <v>8786</v>
      </c>
      <c r="F84" s="577" t="s">
        <v>8785</v>
      </c>
      <c r="G84" s="577" t="s">
        <v>8790</v>
      </c>
    </row>
    <row r="85" spans="3:7" x14ac:dyDescent="0.25">
      <c r="C85" s="17" t="s">
        <v>8794</v>
      </c>
    </row>
    <row r="86" spans="3:7" x14ac:dyDescent="0.25">
      <c r="C86" s="70" t="s">
        <v>8791</v>
      </c>
      <c r="D86" s="324">
        <v>148380</v>
      </c>
      <c r="E86" s="324">
        <v>216184</v>
      </c>
      <c r="F86" s="324">
        <v>347548</v>
      </c>
      <c r="G86" s="324">
        <v>237371</v>
      </c>
    </row>
    <row r="87" spans="3:7" x14ac:dyDescent="0.25">
      <c r="C87" s="70" t="s">
        <v>8792</v>
      </c>
      <c r="D87" s="562">
        <v>19105</v>
      </c>
      <c r="E87" s="562">
        <v>26634</v>
      </c>
      <c r="F87" s="562">
        <v>42826</v>
      </c>
      <c r="G87" s="562">
        <v>29552</v>
      </c>
    </row>
    <row r="88" spans="3:7" s="17" customFormat="1" x14ac:dyDescent="0.25">
      <c r="C88" s="17" t="s">
        <v>337</v>
      </c>
      <c r="D88" s="563">
        <f>SUM(D86:D87)</f>
        <v>167485</v>
      </c>
      <c r="E88" s="563">
        <f t="shared" ref="E88:G88" si="7">SUM(E86:E87)</f>
        <v>242818</v>
      </c>
      <c r="F88" s="563">
        <f t="shared" si="7"/>
        <v>390374</v>
      </c>
      <c r="G88" s="563">
        <f t="shared" si="7"/>
        <v>266923</v>
      </c>
    </row>
    <row r="89" spans="3:7" x14ac:dyDescent="0.25">
      <c r="D89" s="571"/>
      <c r="E89" s="571"/>
      <c r="F89" s="571"/>
      <c r="G89" s="324"/>
    </row>
    <row r="90" spans="3:7" x14ac:dyDescent="0.25">
      <c r="C90" s="17" t="s">
        <v>8793</v>
      </c>
      <c r="D90" s="322">
        <f>D92/12</f>
        <v>2728.9166666666665</v>
      </c>
      <c r="E90" s="322">
        <f>E92/12</f>
        <v>3301.1666666666665</v>
      </c>
      <c r="F90" s="322">
        <f>F92/12</f>
        <v>4402.5</v>
      </c>
      <c r="G90" s="324"/>
    </row>
    <row r="91" spans="3:7" x14ac:dyDescent="0.25">
      <c r="C91" s="70" t="s">
        <v>8795</v>
      </c>
      <c r="D91" s="324">
        <v>77984</v>
      </c>
      <c r="E91" s="324">
        <v>97373</v>
      </c>
      <c r="F91" s="324">
        <v>142874</v>
      </c>
      <c r="G91" s="324">
        <v>106077</v>
      </c>
    </row>
    <row r="92" spans="3:7" x14ac:dyDescent="0.25">
      <c r="C92" s="70" t="s">
        <v>8796</v>
      </c>
      <c r="D92" s="324">
        <v>32747</v>
      </c>
      <c r="E92" s="324">
        <v>39614</v>
      </c>
      <c r="F92" s="324">
        <v>52830</v>
      </c>
      <c r="G92" s="324">
        <v>41730</v>
      </c>
    </row>
    <row r="93" spans="3:7" x14ac:dyDescent="0.25">
      <c r="C93" s="70" t="s">
        <v>8797</v>
      </c>
      <c r="D93" s="324">
        <v>11830</v>
      </c>
      <c r="E93" s="324">
        <v>15759</v>
      </c>
      <c r="F93" s="324">
        <v>24705</v>
      </c>
      <c r="G93" s="324">
        <v>17431</v>
      </c>
    </row>
    <row r="94" spans="3:7" x14ac:dyDescent="0.25">
      <c r="C94" s="70" t="s">
        <v>8823</v>
      </c>
      <c r="D94" s="324">
        <v>10049</v>
      </c>
      <c r="E94" s="324">
        <v>14569</v>
      </c>
      <c r="F94" s="324">
        <v>23422</v>
      </c>
      <c r="G94" s="324">
        <v>16014</v>
      </c>
    </row>
    <row r="95" spans="3:7" x14ac:dyDescent="0.25">
      <c r="C95" s="70" t="s">
        <v>8799</v>
      </c>
      <c r="D95" s="324">
        <v>7340</v>
      </c>
      <c r="E95" s="324">
        <v>10665</v>
      </c>
      <c r="F95" s="324">
        <v>17158</v>
      </c>
      <c r="G95" s="324">
        <v>11721</v>
      </c>
    </row>
    <row r="96" spans="3:7" x14ac:dyDescent="0.25">
      <c r="C96" s="70" t="s">
        <v>292</v>
      </c>
      <c r="D96" s="562">
        <v>18744</v>
      </c>
      <c r="E96" s="562">
        <v>21883</v>
      </c>
      <c r="F96" s="562">
        <v>27491</v>
      </c>
      <c r="G96" s="562">
        <v>22706</v>
      </c>
    </row>
    <row r="97" spans="3:7" s="17" customFormat="1" x14ac:dyDescent="0.25">
      <c r="C97" s="17" t="s">
        <v>8800</v>
      </c>
      <c r="D97" s="563">
        <f>SUM(D91:D96)</f>
        <v>158694</v>
      </c>
      <c r="E97" s="563">
        <f t="shared" ref="E97:G97" si="8">SUM(E91:E96)</f>
        <v>199863</v>
      </c>
      <c r="F97" s="563">
        <f t="shared" si="8"/>
        <v>288480</v>
      </c>
      <c r="G97" s="563">
        <f t="shared" si="8"/>
        <v>215679</v>
      </c>
    </row>
    <row r="98" spans="3:7" x14ac:dyDescent="0.25">
      <c r="D98" s="324"/>
      <c r="E98" s="324"/>
      <c r="F98" s="324"/>
      <c r="G98" s="324"/>
    </row>
    <row r="99" spans="3:7" s="17" customFormat="1" x14ac:dyDescent="0.25">
      <c r="C99" s="17" t="s">
        <v>8801</v>
      </c>
      <c r="D99" s="563">
        <f>D88-D97</f>
        <v>8791</v>
      </c>
      <c r="E99" s="563">
        <f t="shared" ref="E99:G99" si="9">E88-E97</f>
        <v>42955</v>
      </c>
      <c r="F99" s="563">
        <f t="shared" si="9"/>
        <v>101894</v>
      </c>
      <c r="G99" s="563">
        <f t="shared" si="9"/>
        <v>51244</v>
      </c>
    </row>
    <row r="100" spans="3:7" s="17" customFormat="1" x14ac:dyDescent="0.25">
      <c r="D100" s="563"/>
      <c r="E100" s="563"/>
      <c r="F100" s="563"/>
      <c r="G100" s="563"/>
    </row>
    <row r="101" spans="3:7" s="17" customFormat="1" x14ac:dyDescent="0.25">
      <c r="C101" s="70" t="s">
        <v>8824</v>
      </c>
      <c r="D101" s="562">
        <f>D94</f>
        <v>10049</v>
      </c>
      <c r="E101" s="562">
        <f t="shared" ref="E101:G101" si="10">E94</f>
        <v>14569</v>
      </c>
      <c r="F101" s="562">
        <f t="shared" si="10"/>
        <v>23422</v>
      </c>
      <c r="G101" s="562">
        <f t="shared" si="10"/>
        <v>16014</v>
      </c>
    </row>
    <row r="102" spans="3:7" x14ac:dyDescent="0.25">
      <c r="C102" s="17" t="s">
        <v>8828</v>
      </c>
      <c r="D102" s="563">
        <f>D99+D101</f>
        <v>18840</v>
      </c>
      <c r="E102" s="563">
        <f t="shared" ref="E102:G102" si="11">E99+E101</f>
        <v>57524</v>
      </c>
      <c r="F102" s="563">
        <f t="shared" si="11"/>
        <v>125316</v>
      </c>
      <c r="G102" s="563">
        <f t="shared" si="11"/>
        <v>67258</v>
      </c>
    </row>
    <row r="104" spans="3:7" hidden="1" outlineLevel="1" x14ac:dyDescent="0.25"/>
    <row r="105" spans="3:7" hidden="1" outlineLevel="1" x14ac:dyDescent="0.25">
      <c r="C105" s="203" t="s">
        <v>8832</v>
      </c>
      <c r="D105" s="204"/>
      <c r="E105" s="204"/>
      <c r="F105" s="204"/>
      <c r="G105" s="569"/>
    </row>
    <row r="106" spans="3:7" hidden="1" outlineLevel="1" x14ac:dyDescent="0.25"/>
    <row r="107" spans="3:7" hidden="1" outlineLevel="1" x14ac:dyDescent="0.25">
      <c r="D107" s="577" t="s">
        <v>8787</v>
      </c>
      <c r="E107" s="577" t="s">
        <v>8786</v>
      </c>
      <c r="F107" s="577" t="s">
        <v>8785</v>
      </c>
      <c r="G107" s="577" t="s">
        <v>8790</v>
      </c>
    </row>
    <row r="108" spans="3:7" hidden="1" outlineLevel="1" x14ac:dyDescent="0.25">
      <c r="C108" s="17" t="s">
        <v>8794</v>
      </c>
    </row>
    <row r="109" spans="3:7" hidden="1" outlineLevel="1" x14ac:dyDescent="0.25">
      <c r="C109" s="70" t="s">
        <v>8791</v>
      </c>
      <c r="D109" s="145">
        <f>D86/D$88</f>
        <v>0.88593008329104095</v>
      </c>
      <c r="E109" s="145">
        <f t="shared" ref="E109:G109" si="12">E86/E$88</f>
        <v>0.89031290925713913</v>
      </c>
      <c r="F109" s="145">
        <f t="shared" si="12"/>
        <v>0.89029494792173658</v>
      </c>
      <c r="G109" s="145">
        <f t="shared" si="12"/>
        <v>0.88928642342548225</v>
      </c>
    </row>
    <row r="110" spans="3:7" hidden="1" outlineLevel="1" x14ac:dyDescent="0.25">
      <c r="C110" s="70" t="s">
        <v>8792</v>
      </c>
      <c r="D110" s="147">
        <f>D87/D$88</f>
        <v>0.11406991670895901</v>
      </c>
      <c r="E110" s="147">
        <f t="shared" ref="E110:G110" si="13">E87/E$88</f>
        <v>0.10968709074286091</v>
      </c>
      <c r="F110" s="147">
        <f t="shared" si="13"/>
        <v>0.10970505207826341</v>
      </c>
      <c r="G110" s="147">
        <f t="shared" si="13"/>
        <v>0.11071357657451775</v>
      </c>
    </row>
    <row r="111" spans="3:7" hidden="1" outlineLevel="1" x14ac:dyDescent="0.25">
      <c r="C111" s="17" t="s">
        <v>337</v>
      </c>
      <c r="D111" s="148">
        <f>SUM(D109:D110)</f>
        <v>1</v>
      </c>
      <c r="E111" s="148">
        <f t="shared" ref="E111:G111" si="14">SUM(E109:E110)</f>
        <v>1</v>
      </c>
      <c r="F111" s="148">
        <f t="shared" si="14"/>
        <v>1</v>
      </c>
      <c r="G111" s="148">
        <f t="shared" si="14"/>
        <v>1</v>
      </c>
    </row>
    <row r="112" spans="3:7" hidden="1" outlineLevel="1" x14ac:dyDescent="0.25">
      <c r="D112" s="324"/>
      <c r="E112" s="324"/>
      <c r="F112" s="324"/>
      <c r="G112" s="324"/>
    </row>
    <row r="113" spans="3:7" hidden="1" outlineLevel="1" x14ac:dyDescent="0.25">
      <c r="C113" s="17" t="s">
        <v>8793</v>
      </c>
      <c r="D113" s="324"/>
      <c r="E113" s="324"/>
      <c r="F113" s="324"/>
      <c r="G113" s="324"/>
    </row>
    <row r="114" spans="3:7" hidden="1" outlineLevel="1" x14ac:dyDescent="0.25">
      <c r="C114" s="70" t="s">
        <v>8795</v>
      </c>
      <c r="D114" s="145">
        <f t="shared" ref="D114:D119" si="15">D91/D$88</f>
        <v>0.46561781652088247</v>
      </c>
      <c r="E114" s="145">
        <f t="shared" ref="E114:G114" si="16">E91/E$88</f>
        <v>0.40101228080290591</v>
      </c>
      <c r="F114" s="145">
        <f t="shared" si="16"/>
        <v>0.36599261221290352</v>
      </c>
      <c r="G114" s="145">
        <f t="shared" si="16"/>
        <v>0.39740674276851379</v>
      </c>
    </row>
    <row r="115" spans="3:7" hidden="1" outlineLevel="1" x14ac:dyDescent="0.25">
      <c r="C115" s="70" t="s">
        <v>8796</v>
      </c>
      <c r="D115" s="145">
        <f t="shared" si="15"/>
        <v>0.19552198704361584</v>
      </c>
      <c r="E115" s="145">
        <f t="shared" ref="E115:G119" si="17">E92/E$88</f>
        <v>0.16314276536335856</v>
      </c>
      <c r="F115" s="145">
        <f t="shared" si="17"/>
        <v>0.1353317587749184</v>
      </c>
      <c r="G115" s="145">
        <f t="shared" si="17"/>
        <v>0.15633722084646134</v>
      </c>
    </row>
    <row r="116" spans="3:7" hidden="1" outlineLevel="1" x14ac:dyDescent="0.25">
      <c r="C116" s="70" t="s">
        <v>8797</v>
      </c>
      <c r="D116" s="145">
        <f t="shared" si="15"/>
        <v>7.0633191032032722E-2</v>
      </c>
      <c r="E116" s="145">
        <f t="shared" si="17"/>
        <v>6.4900460427151196E-2</v>
      </c>
      <c r="F116" s="145">
        <f t="shared" si="17"/>
        <v>6.3285464708202899E-2</v>
      </c>
      <c r="G116" s="145">
        <f t="shared" si="17"/>
        <v>6.5303477032702312E-2</v>
      </c>
    </row>
    <row r="117" spans="3:7" hidden="1" outlineLevel="1" x14ac:dyDescent="0.25">
      <c r="C117" s="70" t="s">
        <v>8798</v>
      </c>
      <c r="D117" s="145">
        <f t="shared" si="15"/>
        <v>5.9999402931605814E-2</v>
      </c>
      <c r="E117" s="145">
        <f t="shared" si="17"/>
        <v>5.9999670535133311E-2</v>
      </c>
      <c r="F117" s="145">
        <f t="shared" si="17"/>
        <v>5.9998872875755047E-2</v>
      </c>
      <c r="G117" s="145">
        <f t="shared" si="17"/>
        <v>5.9994829969691632E-2</v>
      </c>
    </row>
    <row r="118" spans="3:7" hidden="1" outlineLevel="1" x14ac:dyDescent="0.25">
      <c r="C118" s="70" t="s">
        <v>8799</v>
      </c>
      <c r="D118" s="145">
        <f t="shared" si="15"/>
        <v>4.3824820133146251E-2</v>
      </c>
      <c r="E118" s="145">
        <f t="shared" si="17"/>
        <v>4.3921785040647726E-2</v>
      </c>
      <c r="F118" s="145">
        <f t="shared" si="17"/>
        <v>4.3952722261216166E-2</v>
      </c>
      <c r="G118" s="145">
        <f t="shared" si="17"/>
        <v>4.3911540032144099E-2</v>
      </c>
    </row>
    <row r="119" spans="3:7" hidden="1" outlineLevel="1" x14ac:dyDescent="0.25">
      <c r="C119" s="70" t="s">
        <v>292</v>
      </c>
      <c r="D119" s="147">
        <f t="shared" si="15"/>
        <v>0.11191449980595278</v>
      </c>
      <c r="E119" s="147">
        <f t="shared" si="17"/>
        <v>9.0120995972292006E-2</v>
      </c>
      <c r="F119" s="147">
        <f t="shared" si="17"/>
        <v>7.0422210495576038E-2</v>
      </c>
      <c r="G119" s="147">
        <f t="shared" si="17"/>
        <v>8.5065730566492956E-2</v>
      </c>
    </row>
    <row r="120" spans="3:7" hidden="1" outlineLevel="1" x14ac:dyDescent="0.25">
      <c r="C120" s="17" t="s">
        <v>8800</v>
      </c>
      <c r="D120" s="148">
        <f>SUM(D114:D119)</f>
        <v>0.94751171746723584</v>
      </c>
      <c r="E120" s="148">
        <f t="shared" ref="E120:G120" si="18">SUM(E114:E119)</f>
        <v>0.82309795814148856</v>
      </c>
      <c r="F120" s="148">
        <f t="shared" si="18"/>
        <v>0.73898364132857197</v>
      </c>
      <c r="G120" s="148">
        <f t="shared" si="18"/>
        <v>0.80801954121600617</v>
      </c>
    </row>
    <row r="121" spans="3:7" hidden="1" outlineLevel="1" x14ac:dyDescent="0.25">
      <c r="D121" s="324"/>
      <c r="E121" s="324"/>
      <c r="F121" s="324"/>
      <c r="G121" s="324"/>
    </row>
    <row r="122" spans="3:7" hidden="1" outlineLevel="1" x14ac:dyDescent="0.25">
      <c r="C122" s="17" t="s">
        <v>8801</v>
      </c>
      <c r="D122" s="148">
        <f>D99/D$88</f>
        <v>5.2488282532764129E-2</v>
      </c>
      <c r="E122" s="148">
        <f t="shared" ref="E122:G122" si="19">E99/E$88</f>
        <v>0.1769020418585113</v>
      </c>
      <c r="F122" s="148">
        <f t="shared" si="19"/>
        <v>0.26101635867142792</v>
      </c>
      <c r="G122" s="148">
        <f t="shared" si="19"/>
        <v>0.19198045878399389</v>
      </c>
    </row>
    <row r="123" spans="3:7" hidden="1" outlineLevel="1" x14ac:dyDescent="0.25">
      <c r="C123" s="17"/>
      <c r="D123" s="148"/>
      <c r="E123" s="148"/>
      <c r="F123" s="148"/>
      <c r="G123" s="148"/>
    </row>
    <row r="124" spans="3:7" hidden="1" outlineLevel="1" x14ac:dyDescent="0.25">
      <c r="C124" s="70" t="s">
        <v>8824</v>
      </c>
      <c r="D124" s="147">
        <f t="shared" ref="D124:G124" si="20">D101/D$88</f>
        <v>5.9999402931605814E-2</v>
      </c>
      <c r="E124" s="147">
        <f t="shared" si="20"/>
        <v>5.9999670535133311E-2</v>
      </c>
      <c r="F124" s="147">
        <f t="shared" si="20"/>
        <v>5.9998872875755047E-2</v>
      </c>
      <c r="G124" s="147">
        <f t="shared" si="20"/>
        <v>5.9994829969691632E-2</v>
      </c>
    </row>
    <row r="125" spans="3:7" hidden="1" outlineLevel="1" x14ac:dyDescent="0.25">
      <c r="C125" s="17" t="s">
        <v>8827</v>
      </c>
      <c r="D125" s="148">
        <f>D102/D$88</f>
        <v>0.11248768546436995</v>
      </c>
      <c r="E125" s="148">
        <f t="shared" ref="E125:G125" si="21">E102/E$88</f>
        <v>0.23690171239364463</v>
      </c>
      <c r="F125" s="148">
        <f t="shared" si="21"/>
        <v>0.32101523154718298</v>
      </c>
      <c r="G125" s="148">
        <f t="shared" si="21"/>
        <v>0.25197528875368552</v>
      </c>
    </row>
    <row r="126" spans="3:7" hidden="1" outlineLevel="1" x14ac:dyDescent="0.25"/>
    <row r="127" spans="3:7" hidden="1" outlineLevel="1" x14ac:dyDescent="0.25">
      <c r="C127" s="17" t="s">
        <v>8649</v>
      </c>
    </row>
    <row r="128" spans="3:7" hidden="1" outlineLevel="1" x14ac:dyDescent="0.25">
      <c r="C128" s="15" t="s">
        <v>8802</v>
      </c>
      <c r="D128" s="145">
        <f>D93/D87</f>
        <v>0.61920963098665271</v>
      </c>
      <c r="E128" s="145">
        <f t="shared" ref="E128:G128" si="22">E93/E87</f>
        <v>0.59168731696328003</v>
      </c>
      <c r="F128" s="145">
        <f t="shared" si="22"/>
        <v>0.57686919161257177</v>
      </c>
      <c r="G128" s="145">
        <f t="shared" si="22"/>
        <v>0.58984163508391985</v>
      </c>
    </row>
    <row r="129" spans="3:7" hidden="1" outlineLevel="1" x14ac:dyDescent="0.25">
      <c r="C129" s="15" t="s">
        <v>8803</v>
      </c>
      <c r="D129" s="145">
        <f>D91/D86</f>
        <v>0.5255694837579189</v>
      </c>
      <c r="E129" s="145">
        <f t="shared" ref="E129:G129" si="23">E91/E86</f>
        <v>0.45041723716833809</v>
      </c>
      <c r="F129" s="145">
        <f t="shared" si="23"/>
        <v>0.41109141758836187</v>
      </c>
      <c r="G129" s="145">
        <f t="shared" si="23"/>
        <v>0.44688272788167044</v>
      </c>
    </row>
    <row r="130" spans="3:7" hidden="1" outlineLevel="1" x14ac:dyDescent="0.25"/>
    <row r="131" spans="3:7" hidden="1" outlineLevel="1" x14ac:dyDescent="0.25">
      <c r="C131" s="203" t="s">
        <v>8833</v>
      </c>
      <c r="D131" s="204"/>
      <c r="E131" s="204"/>
      <c r="F131" s="204"/>
      <c r="G131" s="569"/>
    </row>
    <row r="132" spans="3:7" hidden="1" outlineLevel="1" x14ac:dyDescent="0.25"/>
    <row r="133" spans="3:7" hidden="1" outlineLevel="1" x14ac:dyDescent="0.25">
      <c r="C133" s="15" t="s">
        <v>8804</v>
      </c>
      <c r="D133" s="564">
        <v>17</v>
      </c>
    </row>
    <row r="134" spans="3:7" hidden="1" outlineLevel="1" x14ac:dyDescent="0.25">
      <c r="C134" s="15" t="s">
        <v>8805</v>
      </c>
      <c r="D134" s="565">
        <v>355</v>
      </c>
    </row>
    <row r="135" spans="3:7" hidden="1" outlineLevel="1" x14ac:dyDescent="0.25"/>
    <row r="136" spans="3:7" hidden="1" outlineLevel="1" x14ac:dyDescent="0.25">
      <c r="D136" s="577" t="s">
        <v>8787</v>
      </c>
      <c r="E136" s="577" t="s">
        <v>8786</v>
      </c>
      <c r="F136" s="577" t="s">
        <v>8785</v>
      </c>
      <c r="G136" s="577" t="s">
        <v>8790</v>
      </c>
    </row>
    <row r="137" spans="3:7" hidden="1" outlineLevel="1" x14ac:dyDescent="0.25">
      <c r="C137" s="15" t="s">
        <v>8806</v>
      </c>
      <c r="D137" s="566">
        <f>D86/$D$133/$D$134</f>
        <v>24.586578293289147</v>
      </c>
      <c r="E137" s="566">
        <f t="shared" ref="E137:G137" si="24">E86/$D$133/$D$134</f>
        <v>35.821706710853356</v>
      </c>
      <c r="F137" s="566">
        <f t="shared" si="24"/>
        <v>57.588732394366197</v>
      </c>
      <c r="G137" s="566">
        <f t="shared" si="24"/>
        <v>39.332394366197185</v>
      </c>
    </row>
    <row r="138" spans="3:7" hidden="1" outlineLevel="1" x14ac:dyDescent="0.25">
      <c r="C138" s="15" t="s">
        <v>8807</v>
      </c>
      <c r="D138" s="567">
        <f>D87/$D$134/D137</f>
        <v>2.1888731634991236</v>
      </c>
      <c r="E138" s="567">
        <f t="shared" ref="E138:G138" si="25">E87/$D$134/E137</f>
        <v>2.0944103171372537</v>
      </c>
      <c r="F138" s="567">
        <f t="shared" si="25"/>
        <v>2.0947955390334574</v>
      </c>
      <c r="G138" s="567">
        <f t="shared" si="25"/>
        <v>2.116450619494378</v>
      </c>
    </row>
    <row r="139" spans="3:7" hidden="1" outlineLevel="1" x14ac:dyDescent="0.25"/>
    <row r="140" spans="3:7" hidden="1" outlineLevel="1" x14ac:dyDescent="0.25">
      <c r="C140" s="17" t="s">
        <v>8810</v>
      </c>
    </row>
    <row r="141" spans="3:7" hidden="1" outlineLevel="1" x14ac:dyDescent="0.25">
      <c r="C141" s="70" t="s">
        <v>8808</v>
      </c>
      <c r="D141" s="324">
        <f>$D$133*D137</f>
        <v>417.97183098591552</v>
      </c>
      <c r="E141" s="324">
        <f t="shared" ref="E141:G141" si="26">$D$133*E137</f>
        <v>608.96901408450708</v>
      </c>
      <c r="F141" s="324">
        <f t="shared" si="26"/>
        <v>979.00845070422531</v>
      </c>
      <c r="G141" s="324">
        <f t="shared" si="26"/>
        <v>668.65070422535211</v>
      </c>
    </row>
    <row r="142" spans="3:7" hidden="1" outlineLevel="1" x14ac:dyDescent="0.25">
      <c r="C142" s="70" t="s">
        <v>8809</v>
      </c>
      <c r="D142" s="562">
        <f>D137*D138</f>
        <v>53.816901408450697</v>
      </c>
      <c r="E142" s="562">
        <f t="shared" ref="E142:G142" si="27">E137*E138</f>
        <v>75.02535211267606</v>
      </c>
      <c r="F142" s="562">
        <f t="shared" si="27"/>
        <v>120.63661971830987</v>
      </c>
      <c r="G142" s="562">
        <f t="shared" si="27"/>
        <v>83.245070422535221</v>
      </c>
    </row>
    <row r="143" spans="3:7" hidden="1" outlineLevel="1" x14ac:dyDescent="0.25">
      <c r="C143" s="17" t="s">
        <v>8811</v>
      </c>
      <c r="D143" s="563">
        <f>SUM(D141:D142)</f>
        <v>471.78873239436621</v>
      </c>
      <c r="E143" s="563">
        <f t="shared" ref="E143:G143" si="28">SUM(E141:E142)</f>
        <v>683.99436619718313</v>
      </c>
      <c r="F143" s="563">
        <f t="shared" si="28"/>
        <v>1099.6450704225351</v>
      </c>
      <c r="G143" s="563">
        <f t="shared" si="28"/>
        <v>751.89577464788738</v>
      </c>
    </row>
    <row r="144" spans="3:7" hidden="1" outlineLevel="1" x14ac:dyDescent="0.25">
      <c r="D144" s="324"/>
      <c r="E144" s="324"/>
      <c r="F144" s="324"/>
      <c r="G144" s="324"/>
    </row>
    <row r="145" spans="3:7" hidden="1" outlineLevel="1" x14ac:dyDescent="0.25">
      <c r="C145" s="17" t="s">
        <v>8812</v>
      </c>
      <c r="D145" s="568"/>
      <c r="E145" s="568"/>
      <c r="F145" s="568"/>
      <c r="G145" s="568"/>
    </row>
    <row r="146" spans="3:7" hidden="1" outlineLevel="1" x14ac:dyDescent="0.25">
      <c r="C146" s="70" t="s">
        <v>8795</v>
      </c>
      <c r="D146" s="324">
        <f t="shared" ref="D146:D151" si="29">D91/$D$134</f>
        <v>219.67323943661972</v>
      </c>
      <c r="E146" s="324">
        <f t="shared" ref="E146:G146" si="30">E91/$D$134</f>
        <v>274.29014084507043</v>
      </c>
      <c r="F146" s="324">
        <f t="shared" si="30"/>
        <v>402.46197183098593</v>
      </c>
      <c r="G146" s="324">
        <f t="shared" si="30"/>
        <v>298.80845070422538</v>
      </c>
    </row>
    <row r="147" spans="3:7" hidden="1" outlineLevel="1" x14ac:dyDescent="0.25">
      <c r="C147" s="70" t="s">
        <v>8796</v>
      </c>
      <c r="D147" s="324">
        <f t="shared" si="29"/>
        <v>92.245070422535207</v>
      </c>
      <c r="E147" s="324">
        <f t="shared" ref="E147:G151" si="31">E92/$D$134</f>
        <v>111.5887323943662</v>
      </c>
      <c r="F147" s="324">
        <f t="shared" si="31"/>
        <v>148.81690140845072</v>
      </c>
      <c r="G147" s="324">
        <f t="shared" si="31"/>
        <v>117.54929577464789</v>
      </c>
    </row>
    <row r="148" spans="3:7" hidden="1" outlineLevel="1" x14ac:dyDescent="0.25">
      <c r="C148" s="70" t="s">
        <v>8797</v>
      </c>
      <c r="D148" s="324">
        <f t="shared" si="29"/>
        <v>33.323943661971832</v>
      </c>
      <c r="E148" s="324">
        <f t="shared" si="31"/>
        <v>44.391549295774645</v>
      </c>
      <c r="F148" s="324">
        <f t="shared" si="31"/>
        <v>69.591549295774641</v>
      </c>
      <c r="G148" s="324">
        <f t="shared" si="31"/>
        <v>49.101408450704227</v>
      </c>
    </row>
    <row r="149" spans="3:7" hidden="1" outlineLevel="1" x14ac:dyDescent="0.25">
      <c r="C149" s="70" t="s">
        <v>8823</v>
      </c>
      <c r="D149" s="324">
        <f t="shared" si="29"/>
        <v>28.307042253521125</v>
      </c>
      <c r="E149" s="324">
        <f t="shared" si="31"/>
        <v>41.039436619718309</v>
      </c>
      <c r="F149" s="324">
        <f t="shared" si="31"/>
        <v>65.977464788732391</v>
      </c>
      <c r="G149" s="324">
        <f t="shared" si="31"/>
        <v>45.10985915492958</v>
      </c>
    </row>
    <row r="150" spans="3:7" hidden="1" outlineLevel="1" x14ac:dyDescent="0.25">
      <c r="C150" s="70" t="s">
        <v>8799</v>
      </c>
      <c r="D150" s="324">
        <f t="shared" si="29"/>
        <v>20.676056338028168</v>
      </c>
      <c r="E150" s="324">
        <f t="shared" si="31"/>
        <v>30.04225352112676</v>
      </c>
      <c r="F150" s="324">
        <f t="shared" si="31"/>
        <v>48.332394366197185</v>
      </c>
      <c r="G150" s="324">
        <f t="shared" si="31"/>
        <v>33.016901408450707</v>
      </c>
    </row>
    <row r="151" spans="3:7" hidden="1" outlineLevel="1" x14ac:dyDescent="0.25">
      <c r="C151" s="70" t="s">
        <v>292</v>
      </c>
      <c r="D151" s="562">
        <f t="shared" si="29"/>
        <v>52.8</v>
      </c>
      <c r="E151" s="562">
        <f t="shared" si="31"/>
        <v>61.642253521126761</v>
      </c>
      <c r="F151" s="562">
        <f t="shared" si="31"/>
        <v>77.439436619718307</v>
      </c>
      <c r="G151" s="562">
        <f t="shared" si="31"/>
        <v>63.960563380281691</v>
      </c>
    </row>
    <row r="152" spans="3:7" hidden="1" outlineLevel="1" x14ac:dyDescent="0.25">
      <c r="C152" s="17" t="s">
        <v>8813</v>
      </c>
      <c r="D152" s="563">
        <f>SUM(D146:D151)</f>
        <v>447.02535211267605</v>
      </c>
      <c r="E152" s="563">
        <f t="shared" ref="E152:G152" si="32">SUM(E146:E151)</f>
        <v>562.99436619718313</v>
      </c>
      <c r="F152" s="563">
        <f t="shared" si="32"/>
        <v>812.61971830985908</v>
      </c>
      <c r="G152" s="563">
        <f t="shared" si="32"/>
        <v>607.54647887323949</v>
      </c>
    </row>
    <row r="153" spans="3:7" hidden="1" outlineLevel="1" x14ac:dyDescent="0.25">
      <c r="D153" s="324"/>
      <c r="E153" s="324"/>
      <c r="F153" s="324"/>
      <c r="G153" s="324"/>
    </row>
    <row r="154" spans="3:7" hidden="1" outlineLevel="1" x14ac:dyDescent="0.25">
      <c r="C154" s="17" t="s">
        <v>8814</v>
      </c>
      <c r="D154" s="563">
        <f>D143-D152</f>
        <v>24.763380281690161</v>
      </c>
      <c r="E154" s="563">
        <f t="shared" ref="E154:G154" si="33">E143-E152</f>
        <v>121</v>
      </c>
      <c r="F154" s="563">
        <f t="shared" si="33"/>
        <v>287.02535211267605</v>
      </c>
      <c r="G154" s="563">
        <f t="shared" si="33"/>
        <v>144.34929577464789</v>
      </c>
    </row>
    <row r="155" spans="3:7" hidden="1" outlineLevel="1" x14ac:dyDescent="0.25">
      <c r="C155" s="70" t="s">
        <v>8825</v>
      </c>
      <c r="D155" s="562">
        <f>D149</f>
        <v>28.307042253521125</v>
      </c>
      <c r="E155" s="562">
        <f t="shared" ref="E155:G155" si="34">E149</f>
        <v>41.039436619718309</v>
      </c>
      <c r="F155" s="562">
        <f t="shared" si="34"/>
        <v>65.977464788732391</v>
      </c>
      <c r="G155" s="562">
        <f t="shared" si="34"/>
        <v>45.10985915492958</v>
      </c>
    </row>
    <row r="156" spans="3:7" hidden="1" outlineLevel="1" x14ac:dyDescent="0.25">
      <c r="C156" s="17" t="s">
        <v>8826</v>
      </c>
      <c r="D156" s="563">
        <f>SUM(D154:D155)</f>
        <v>53.070422535211286</v>
      </c>
      <c r="E156" s="563">
        <f t="shared" ref="E156:G156" si="35">SUM(E154:E155)</f>
        <v>162.03943661971832</v>
      </c>
      <c r="F156" s="563">
        <f t="shared" si="35"/>
        <v>353.00281690140844</v>
      </c>
      <c r="G156" s="563">
        <f t="shared" si="35"/>
        <v>189.45915492957747</v>
      </c>
    </row>
    <row r="157" spans="3:7" hidden="1" outlineLevel="1" x14ac:dyDescent="0.25">
      <c r="D157" s="322"/>
      <c r="E157" s="322"/>
      <c r="F157" s="322"/>
      <c r="G157" s="322"/>
    </row>
    <row r="158" spans="3:7" collapsed="1" x14ac:dyDescent="0.25">
      <c r="C158" s="203" t="s">
        <v>8840</v>
      </c>
      <c r="D158" s="204"/>
      <c r="E158" s="204"/>
      <c r="F158" s="204"/>
      <c r="G158" s="569"/>
    </row>
    <row r="160" spans="3:7" x14ac:dyDescent="0.25">
      <c r="D160" s="577" t="s">
        <v>8787</v>
      </c>
      <c r="E160" s="577" t="s">
        <v>8786</v>
      </c>
      <c r="F160" s="577" t="s">
        <v>8785</v>
      </c>
      <c r="G160" s="577" t="s">
        <v>8790</v>
      </c>
    </row>
    <row r="161" spans="3:8" x14ac:dyDescent="0.25">
      <c r="C161" s="17" t="s">
        <v>8794</v>
      </c>
    </row>
    <row r="162" spans="3:8" x14ac:dyDescent="0.25">
      <c r="C162" s="70" t="s">
        <v>8791</v>
      </c>
      <c r="D162" s="324">
        <f>D164-D163</f>
        <v>181625.41230557961</v>
      </c>
      <c r="E162" s="324">
        <f t="shared" ref="E162:G162" si="36">E164-E163</f>
        <v>277313.77466250444</v>
      </c>
      <c r="F162" s="324">
        <f t="shared" si="36"/>
        <v>431531.30302735325</v>
      </c>
      <c r="G162" s="324">
        <f t="shared" si="36"/>
        <v>296914.06176687661</v>
      </c>
      <c r="H162" s="571"/>
    </row>
    <row r="163" spans="3:8" x14ac:dyDescent="0.25">
      <c r="C163" s="70" t="s">
        <v>8792</v>
      </c>
      <c r="D163" s="562">
        <f>D186*D164</f>
        <v>23385.587694420396</v>
      </c>
      <c r="E163" s="562">
        <f>E186*E164</f>
        <v>34165.225337495576</v>
      </c>
      <c r="F163" s="562">
        <f>F186*F164</f>
        <v>53174.696972646743</v>
      </c>
      <c r="G163" s="562">
        <f>G186*G164</f>
        <v>36964.938233123408</v>
      </c>
      <c r="H163" s="571"/>
    </row>
    <row r="164" spans="3:8" x14ac:dyDescent="0.25">
      <c r="C164" s="17" t="s">
        <v>337</v>
      </c>
      <c r="D164" s="563">
        <f>G73</f>
        <v>205011</v>
      </c>
      <c r="E164" s="563">
        <f>G72</f>
        <v>311479</v>
      </c>
      <c r="F164" s="563">
        <f>G71</f>
        <v>484706</v>
      </c>
      <c r="G164" s="563">
        <f>G74</f>
        <v>333879</v>
      </c>
      <c r="H164" s="571"/>
    </row>
    <row r="165" spans="3:8" x14ac:dyDescent="0.25">
      <c r="D165" s="324"/>
      <c r="E165" s="324"/>
      <c r="F165" s="324"/>
      <c r="G165" s="324"/>
    </row>
    <row r="166" spans="3:8" x14ac:dyDescent="0.25">
      <c r="C166" s="17" t="s">
        <v>8793</v>
      </c>
      <c r="D166" s="324"/>
      <c r="E166" s="324"/>
      <c r="F166" s="324"/>
      <c r="G166" s="324"/>
    </row>
    <row r="167" spans="3:8" x14ac:dyDescent="0.25">
      <c r="C167" s="70" t="s">
        <v>8795</v>
      </c>
      <c r="D167" s="324">
        <f>D189+D162*D190</f>
        <v>89487.623691673885</v>
      </c>
      <c r="E167" s="324">
        <f>E189+E162*E190</f>
        <v>123194.13239875133</v>
      </c>
      <c r="F167" s="324">
        <f>F189+F162*F190</f>
        <v>174459.39090820597</v>
      </c>
      <c r="G167" s="324">
        <f>G189+G162*G190</f>
        <v>129074.21853006298</v>
      </c>
    </row>
    <row r="168" spans="3:8" x14ac:dyDescent="0.25">
      <c r="C168" s="70" t="s">
        <v>8796</v>
      </c>
      <c r="D168" s="572">
        <f>3000*12</f>
        <v>36000</v>
      </c>
      <c r="E168" s="572">
        <f>3800*12</f>
        <v>45600</v>
      </c>
      <c r="F168" s="572">
        <f>5000*12</f>
        <v>60000</v>
      </c>
      <c r="G168" s="572">
        <f>4000*12</f>
        <v>48000</v>
      </c>
    </row>
    <row r="169" spans="3:8" x14ac:dyDescent="0.25">
      <c r="C169" s="70" t="s">
        <v>8797</v>
      </c>
      <c r="D169" s="324">
        <f t="shared" ref="D169:G170" si="37">D163*D191</f>
        <v>13797.496739708033</v>
      </c>
      <c r="E169" s="324">
        <f t="shared" si="37"/>
        <v>19474.178442372478</v>
      </c>
      <c r="F169" s="324">
        <f t="shared" si="37"/>
        <v>29246.083334955711</v>
      </c>
      <c r="G169" s="324">
        <f t="shared" si="37"/>
        <v>21070.014792880342</v>
      </c>
    </row>
    <row r="170" spans="3:8" x14ac:dyDescent="0.25">
      <c r="C170" s="70" t="s">
        <v>8798</v>
      </c>
      <c r="D170" s="324">
        <f t="shared" si="37"/>
        <v>12300.66</v>
      </c>
      <c r="E170" s="324">
        <f t="shared" si="37"/>
        <v>18688.739999999998</v>
      </c>
      <c r="F170" s="324">
        <f t="shared" si="37"/>
        <v>29082.36</v>
      </c>
      <c r="G170" s="324">
        <f t="shared" si="37"/>
        <v>20032.739999999998</v>
      </c>
    </row>
    <row r="171" spans="3:8" x14ac:dyDescent="0.25">
      <c r="C171" s="70" t="s">
        <v>8799</v>
      </c>
      <c r="D171" s="324">
        <f>D164*D193</f>
        <v>8984.5702003164461</v>
      </c>
      <c r="E171" s="324">
        <f>E164*E193</f>
        <v>13680.713682675912</v>
      </c>
      <c r="F171" s="324">
        <f>F164*F193</f>
        <v>21304.148196345042</v>
      </c>
      <c r="G171" s="324">
        <f>G164*G193</f>
        <v>14661.141074392239</v>
      </c>
    </row>
    <row r="172" spans="3:8" x14ac:dyDescent="0.25">
      <c r="C172" s="70" t="s">
        <v>292</v>
      </c>
      <c r="D172" s="573">
        <f>AVERAGE(D96:E96)</f>
        <v>20313.5</v>
      </c>
      <c r="E172" s="573">
        <f>AVERAGE(E96:F96)</f>
        <v>24687</v>
      </c>
      <c r="F172" s="573">
        <f>E172-D172+E172</f>
        <v>29060.5</v>
      </c>
      <c r="G172" s="573">
        <f>E172+500</f>
        <v>25187</v>
      </c>
    </row>
    <row r="173" spans="3:8" x14ac:dyDescent="0.25">
      <c r="C173" s="17" t="s">
        <v>8800</v>
      </c>
      <c r="D173" s="563">
        <f>SUM(D167:D172)</f>
        <v>180883.85063169835</v>
      </c>
      <c r="E173" s="563">
        <f t="shared" ref="E173:G173" si="38">SUM(E167:E172)</f>
        <v>245324.76452379971</v>
      </c>
      <c r="F173" s="563">
        <f t="shared" si="38"/>
        <v>343152.48243950668</v>
      </c>
      <c r="G173" s="563">
        <f t="shared" si="38"/>
        <v>258025.11439733556</v>
      </c>
    </row>
    <row r="174" spans="3:8" x14ac:dyDescent="0.25">
      <c r="D174" s="324"/>
      <c r="E174" s="324"/>
      <c r="F174" s="324"/>
      <c r="G174" s="324"/>
    </row>
    <row r="175" spans="3:8" x14ac:dyDescent="0.25">
      <c r="C175" s="17" t="s">
        <v>8801</v>
      </c>
      <c r="D175" s="563">
        <f>D164-D173</f>
        <v>24127.149368301645</v>
      </c>
      <c r="E175" s="563">
        <f t="shared" ref="E175:G175" si="39">E164-E173</f>
        <v>66154.235476200294</v>
      </c>
      <c r="F175" s="563">
        <f t="shared" si="39"/>
        <v>141553.51756049332</v>
      </c>
      <c r="G175" s="563">
        <f t="shared" si="39"/>
        <v>75853.885602664435</v>
      </c>
    </row>
    <row r="176" spans="3:8" x14ac:dyDescent="0.25">
      <c r="E176" s="322"/>
    </row>
    <row r="177" spans="3:7" x14ac:dyDescent="0.25">
      <c r="C177" s="70" t="s">
        <v>8824</v>
      </c>
      <c r="D177" s="562">
        <f>D170</f>
        <v>12300.66</v>
      </c>
      <c r="E177" s="562">
        <f t="shared" ref="E177:G177" si="40">E170</f>
        <v>18688.739999999998</v>
      </c>
      <c r="F177" s="562">
        <f t="shared" si="40"/>
        <v>29082.36</v>
      </c>
      <c r="G177" s="562">
        <f t="shared" si="40"/>
        <v>20032.739999999998</v>
      </c>
    </row>
    <row r="178" spans="3:7" x14ac:dyDescent="0.25">
      <c r="C178" s="17" t="s">
        <v>8827</v>
      </c>
      <c r="D178" s="563">
        <f>D175+D177</f>
        <v>36427.809368301649</v>
      </c>
      <c r="E178" s="563">
        <f t="shared" ref="E178:G178" si="41">E175+E177</f>
        <v>84842.975476200285</v>
      </c>
      <c r="F178" s="563">
        <f t="shared" si="41"/>
        <v>170635.8775604933</v>
      </c>
      <c r="G178" s="563">
        <f t="shared" si="41"/>
        <v>95886.625602664426</v>
      </c>
    </row>
    <row r="180" spans="3:7" x14ac:dyDescent="0.25">
      <c r="C180" s="203" t="s">
        <v>8836</v>
      </c>
      <c r="D180" s="204"/>
      <c r="E180" s="204"/>
      <c r="F180" s="204"/>
      <c r="G180" s="569"/>
    </row>
    <row r="182" spans="3:7" x14ac:dyDescent="0.25">
      <c r="C182" s="15" t="s">
        <v>8821</v>
      </c>
      <c r="D182" s="564">
        <v>17</v>
      </c>
    </row>
    <row r="183" spans="3:7" x14ac:dyDescent="0.25">
      <c r="C183" s="15" t="s">
        <v>8822</v>
      </c>
      <c r="D183" s="565">
        <v>355</v>
      </c>
    </row>
    <row r="184" spans="3:7" x14ac:dyDescent="0.25">
      <c r="D184" s="565"/>
    </row>
    <row r="185" spans="3:7" x14ac:dyDescent="0.25">
      <c r="D185" s="577" t="s">
        <v>8787</v>
      </c>
      <c r="E185" s="577" t="s">
        <v>8786</v>
      </c>
      <c r="F185" s="577" t="s">
        <v>8785</v>
      </c>
      <c r="G185" s="577" t="s">
        <v>8790</v>
      </c>
    </row>
    <row r="186" spans="3:7" x14ac:dyDescent="0.25">
      <c r="C186" s="15" t="s">
        <v>8815</v>
      </c>
      <c r="D186" s="570">
        <f>D110</f>
        <v>0.11406991670895901</v>
      </c>
      <c r="E186" s="570">
        <f>E110</f>
        <v>0.10968709074286091</v>
      </c>
      <c r="F186" s="570">
        <f>F110</f>
        <v>0.10970505207826341</v>
      </c>
      <c r="G186" s="570">
        <f>G110</f>
        <v>0.11071357657451775</v>
      </c>
    </row>
    <row r="187" spans="3:7" x14ac:dyDescent="0.25">
      <c r="C187" s="15" t="s">
        <v>8806</v>
      </c>
      <c r="D187" s="566">
        <f>D162/$D$182/$D$183</f>
        <v>30.095345866707476</v>
      </c>
      <c r="E187" s="566">
        <f>E162/$D$182/$D$183</f>
        <v>45.950915437034702</v>
      </c>
      <c r="F187" s="566">
        <f>F162/$D$182/$D$183</f>
        <v>71.504772664018759</v>
      </c>
      <c r="G187" s="566">
        <f>G162/$D$182/$D$183</f>
        <v>49.198684634113768</v>
      </c>
    </row>
    <row r="188" spans="3:7" x14ac:dyDescent="0.25">
      <c r="C188" s="15" t="s">
        <v>8807</v>
      </c>
      <c r="D188" s="567">
        <f>D163/$D$183/D187</f>
        <v>2.1888731634991241</v>
      </c>
      <c r="E188" s="567">
        <f>E163/$D$183/E187</f>
        <v>2.0944103171372537</v>
      </c>
      <c r="F188" s="567">
        <f>F163/$D$183/F187</f>
        <v>2.0947955390334574</v>
      </c>
      <c r="G188" s="567">
        <f>G163/$D$183/G187</f>
        <v>2.116450619494378</v>
      </c>
    </row>
    <row r="189" spans="3:7" x14ac:dyDescent="0.25">
      <c r="C189" s="15" t="s">
        <v>8816</v>
      </c>
      <c r="D189" s="572">
        <v>35000</v>
      </c>
      <c r="E189" s="572">
        <f>D189+5000</f>
        <v>40000</v>
      </c>
      <c r="F189" s="572">
        <f>E189+5000</f>
        <v>45000</v>
      </c>
      <c r="G189" s="572">
        <f>E189</f>
        <v>40000</v>
      </c>
    </row>
    <row r="190" spans="3:7" x14ac:dyDescent="0.25">
      <c r="C190" s="15" t="s">
        <v>8817</v>
      </c>
      <c r="D190" s="77">
        <v>0.3</v>
      </c>
      <c r="E190" s="77">
        <v>0.3</v>
      </c>
      <c r="F190" s="77">
        <v>0.3</v>
      </c>
      <c r="G190" s="77">
        <v>0.3</v>
      </c>
    </row>
    <row r="191" spans="3:7" x14ac:dyDescent="0.25">
      <c r="C191" s="15" t="s">
        <v>8668</v>
      </c>
      <c r="D191" s="77">
        <v>0.59</v>
      </c>
      <c r="E191" s="77">
        <v>0.56999999999999995</v>
      </c>
      <c r="F191" s="77">
        <v>0.55000000000000004</v>
      </c>
      <c r="G191" s="77">
        <v>0.56999999999999995</v>
      </c>
    </row>
    <row r="192" spans="3:7" x14ac:dyDescent="0.25">
      <c r="C192" s="15" t="s">
        <v>8835</v>
      </c>
      <c r="D192" s="77">
        <v>0.06</v>
      </c>
      <c r="E192" s="77">
        <v>0.06</v>
      </c>
      <c r="F192" s="77">
        <v>0.06</v>
      </c>
      <c r="G192" s="77">
        <v>0.06</v>
      </c>
    </row>
    <row r="193" spans="3:7" x14ac:dyDescent="0.25">
      <c r="C193" s="15" t="s">
        <v>8834</v>
      </c>
      <c r="D193" s="570">
        <f>D118</f>
        <v>4.3824820133146251E-2</v>
      </c>
      <c r="E193" s="570">
        <f t="shared" ref="E193:G193" si="42">E118</f>
        <v>4.3921785040647726E-2</v>
      </c>
      <c r="F193" s="570">
        <f t="shared" si="42"/>
        <v>4.3952722261216166E-2</v>
      </c>
      <c r="G193" s="570">
        <f t="shared" si="42"/>
        <v>4.3911540032144099E-2</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showGridLines="0" zoomScale="80" zoomScaleNormal="80" workbookViewId="0">
      <selection activeCell="A4" sqref="A4"/>
    </sheetView>
  </sheetViews>
  <sheetFormatPr defaultRowHeight="15" x14ac:dyDescent="0.25"/>
  <cols>
    <col min="1" max="1" width="7.5703125" style="15" customWidth="1"/>
    <col min="2" max="2" width="35.140625" style="15" bestFit="1" customWidth="1"/>
    <col min="3" max="3" width="10.7109375" style="15" bestFit="1" customWidth="1"/>
    <col min="4" max="7" width="22.7109375" style="15" customWidth="1"/>
    <col min="8" max="8" width="14.28515625" style="61" bestFit="1" customWidth="1"/>
    <col min="9" max="9" width="13.140625" style="61" bestFit="1" customWidth="1"/>
    <col min="10" max="10" width="13.140625" style="61" customWidth="1"/>
    <col min="11" max="11" width="16.140625" style="61" bestFit="1" customWidth="1"/>
    <col min="12" max="13" width="14.42578125" style="15" bestFit="1" customWidth="1"/>
    <col min="14" max="17" width="10" style="15" bestFit="1" customWidth="1"/>
    <col min="18" max="16384" width="9.140625" style="15"/>
  </cols>
  <sheetData>
    <row r="1" spans="2:11" x14ac:dyDescent="0.25">
      <c r="B1" s="15" t="s">
        <v>8694</v>
      </c>
    </row>
    <row r="2" spans="2:11" x14ac:dyDescent="0.25">
      <c r="B2" s="61" t="s">
        <v>8646</v>
      </c>
    </row>
    <row r="4" spans="2:11" x14ac:dyDescent="0.25">
      <c r="B4" s="27" t="s">
        <v>8640</v>
      </c>
    </row>
    <row r="6" spans="2:11" x14ac:dyDescent="0.25">
      <c r="B6" s="379" t="s">
        <v>8630</v>
      </c>
      <c r="C6" s="379" t="s">
        <v>8</v>
      </c>
      <c r="D6" s="380" t="s">
        <v>8631</v>
      </c>
      <c r="E6" s="380" t="s">
        <v>8632</v>
      </c>
      <c r="F6" s="380" t="s">
        <v>8633</v>
      </c>
      <c r="G6" s="380" t="s">
        <v>8634</v>
      </c>
      <c r="H6" s="321"/>
      <c r="I6" s="321"/>
      <c r="J6" s="321"/>
      <c r="K6" s="321"/>
    </row>
    <row r="7" spans="2:11" x14ac:dyDescent="0.25">
      <c r="B7" s="323" t="s">
        <v>8623</v>
      </c>
      <c r="C7" s="323" t="s">
        <v>8605</v>
      </c>
      <c r="D7" s="325">
        <v>7609.5334050000001</v>
      </c>
      <c r="E7" s="325">
        <v>8273.6424050000005</v>
      </c>
      <c r="F7" s="326">
        <v>18.564630614054991</v>
      </c>
      <c r="G7" s="326">
        <v>3.513652229450547</v>
      </c>
    </row>
    <row r="8" spans="2:11" x14ac:dyDescent="0.25">
      <c r="B8" s="323" t="s">
        <v>8622</v>
      </c>
      <c r="C8" s="323" t="s">
        <v>8604</v>
      </c>
      <c r="D8" s="325">
        <v>16955.47144587</v>
      </c>
      <c r="E8" s="325">
        <v>16022.879445869999</v>
      </c>
      <c r="F8" s="326">
        <v>15.040460431089848</v>
      </c>
      <c r="G8" s="326">
        <v>3.6812869420809231</v>
      </c>
    </row>
    <row r="9" spans="2:11" x14ac:dyDescent="0.25">
      <c r="B9" s="323" t="s">
        <v>8628</v>
      </c>
      <c r="C9" s="323" t="s">
        <v>8610</v>
      </c>
      <c r="D9" s="325">
        <v>4035.7702601999995</v>
      </c>
      <c r="E9" s="325">
        <v>7129.5502601999997</v>
      </c>
      <c r="F9" s="326">
        <v>12.627286526802996</v>
      </c>
      <c r="G9" s="326">
        <v>2.7681501294267057</v>
      </c>
    </row>
    <row r="10" spans="2:11" x14ac:dyDescent="0.25">
      <c r="B10" s="323" t="s">
        <v>8612</v>
      </c>
      <c r="C10" s="323" t="s">
        <v>8594</v>
      </c>
      <c r="D10" s="325">
        <v>5522.1700427999995</v>
      </c>
      <c r="E10" s="325">
        <v>5102.6940427999998</v>
      </c>
      <c r="F10" s="326">
        <v>11.721832088339621</v>
      </c>
      <c r="G10" s="326">
        <v>1.9043714626037183</v>
      </c>
    </row>
    <row r="11" spans="2:11" x14ac:dyDescent="0.25">
      <c r="B11" s="323" t="s">
        <v>8625</v>
      </c>
      <c r="C11" s="323" t="s">
        <v>8607</v>
      </c>
      <c r="D11" s="325">
        <v>4353.50830078125</v>
      </c>
      <c r="E11" s="325">
        <v>4252.4215422992702</v>
      </c>
      <c r="F11" s="326">
        <v>11.393461790460519</v>
      </c>
      <c r="G11" s="326">
        <v>1.9331390995198796</v>
      </c>
    </row>
    <row r="12" spans="2:11" x14ac:dyDescent="0.25">
      <c r="B12" s="323" t="s">
        <v>8629</v>
      </c>
      <c r="C12" s="323" t="s">
        <v>8611</v>
      </c>
      <c r="D12" s="325">
        <v>2208.8208849600001</v>
      </c>
      <c r="E12" s="325">
        <v>2147.0698849599999</v>
      </c>
      <c r="F12" s="326">
        <v>11.098077981720103</v>
      </c>
      <c r="G12" s="326">
        <v>1.4121533150204215</v>
      </c>
    </row>
    <row r="13" spans="2:11" x14ac:dyDescent="0.25">
      <c r="B13" s="323" t="s">
        <v>8619</v>
      </c>
      <c r="C13" s="323" t="s">
        <v>8601</v>
      </c>
      <c r="D13" s="325">
        <v>1493.7407066700002</v>
      </c>
      <c r="E13" s="325">
        <v>2736.4477066700001</v>
      </c>
      <c r="F13" s="326">
        <v>10.882016761160633</v>
      </c>
      <c r="G13" s="326">
        <v>4.248484387811307</v>
      </c>
    </row>
    <row r="14" spans="2:11" x14ac:dyDescent="0.25">
      <c r="B14" s="323" t="s">
        <v>8627</v>
      </c>
      <c r="C14" s="323" t="s">
        <v>8609</v>
      </c>
      <c r="D14" s="325">
        <v>1599.5401611328125</v>
      </c>
      <c r="E14" s="325">
        <v>3341.7401863098144</v>
      </c>
      <c r="F14" s="326">
        <v>10.831183248213641</v>
      </c>
      <c r="G14" s="326">
        <v>1.9844755871991535</v>
      </c>
    </row>
    <row r="15" spans="2:11" x14ac:dyDescent="0.25">
      <c r="B15" s="323" t="s">
        <v>8620</v>
      </c>
      <c r="C15" s="323" t="s">
        <v>8602</v>
      </c>
      <c r="D15" s="325">
        <v>5921.99583024</v>
      </c>
      <c r="E15" s="325">
        <v>6116.3608302399998</v>
      </c>
      <c r="F15" s="326">
        <v>10.513599000523667</v>
      </c>
      <c r="G15" s="326">
        <v>2.0754620202064817</v>
      </c>
    </row>
    <row r="16" spans="2:11" x14ac:dyDescent="0.25">
      <c r="B16" s="323" t="s">
        <v>8614</v>
      </c>
      <c r="C16" s="323" t="s">
        <v>8596</v>
      </c>
      <c r="D16" s="325">
        <v>4071.7003953999997</v>
      </c>
      <c r="E16" s="325">
        <v>5682.7593953999994</v>
      </c>
      <c r="F16" s="326">
        <v>10.201857366018393</v>
      </c>
      <c r="G16" s="326">
        <v>1.6457915258812696</v>
      </c>
    </row>
    <row r="17" spans="2:7" x14ac:dyDescent="0.25">
      <c r="B17" s="323" t="s">
        <v>8624</v>
      </c>
      <c r="C17" s="323" t="s">
        <v>8606</v>
      </c>
      <c r="D17" s="325">
        <v>2263.2373697200005</v>
      </c>
      <c r="E17" s="325">
        <v>2673.2563697200003</v>
      </c>
      <c r="F17" s="326">
        <v>10.07527045954153</v>
      </c>
      <c r="G17" s="326">
        <v>1.6989215030916711</v>
      </c>
    </row>
    <row r="18" spans="2:7" x14ac:dyDescent="0.25">
      <c r="B18" s="323" t="s">
        <v>8618</v>
      </c>
      <c r="C18" s="323" t="s">
        <v>8600</v>
      </c>
      <c r="D18" s="325">
        <v>2291.7296081700001</v>
      </c>
      <c r="E18" s="325">
        <v>2600.3766081700001</v>
      </c>
      <c r="F18" s="326">
        <v>9.9138106494167868</v>
      </c>
      <c r="G18" s="326">
        <v>1.0018529543036805</v>
      </c>
    </row>
    <row r="19" spans="2:7" x14ac:dyDescent="0.25">
      <c r="B19" s="323" t="s">
        <v>8616</v>
      </c>
      <c r="C19" s="323" t="s">
        <v>8598</v>
      </c>
      <c r="D19" s="325">
        <v>1160.0523433600001</v>
      </c>
      <c r="E19" s="325">
        <v>5549.1553433600002</v>
      </c>
      <c r="F19" s="326">
        <v>9.8592542646083938</v>
      </c>
      <c r="G19" s="326">
        <v>1.9362030122966172</v>
      </c>
    </row>
    <row r="20" spans="2:7" x14ac:dyDescent="0.25">
      <c r="B20" s="323" t="s">
        <v>8617</v>
      </c>
      <c r="C20" s="323" t="s">
        <v>8599</v>
      </c>
      <c r="D20" s="325">
        <v>3206.6569373599996</v>
      </c>
      <c r="E20" s="325">
        <v>3987.1169373599996</v>
      </c>
      <c r="F20" s="326">
        <v>9.7636880793859806</v>
      </c>
      <c r="G20" s="326">
        <v>1.4278468329338727</v>
      </c>
    </row>
    <row r="21" spans="2:7" x14ac:dyDescent="0.25">
      <c r="B21" s="323" t="s">
        <v>8615</v>
      </c>
      <c r="C21" s="323" t="s">
        <v>8597</v>
      </c>
      <c r="D21" s="325">
        <v>8932.299508080001</v>
      </c>
      <c r="E21" s="325">
        <v>8873.4125080800004</v>
      </c>
      <c r="F21" s="326">
        <v>9.1551281918367771</v>
      </c>
      <c r="G21" s="326">
        <v>1.223885654870928</v>
      </c>
    </row>
    <row r="22" spans="2:7" x14ac:dyDescent="0.25">
      <c r="B22" s="323" t="s">
        <v>8621</v>
      </c>
      <c r="C22" s="323" t="s">
        <v>8603</v>
      </c>
      <c r="D22" s="325">
        <v>626.31722693999995</v>
      </c>
      <c r="E22" s="325">
        <v>624.81022694000001</v>
      </c>
      <c r="F22" s="326">
        <v>7.995570526761794</v>
      </c>
      <c r="G22" s="326">
        <v>0.33085258751081614</v>
      </c>
    </row>
    <row r="23" spans="2:7" x14ac:dyDescent="0.25">
      <c r="B23" s="323" t="s">
        <v>8644</v>
      </c>
      <c r="C23" s="323" t="s">
        <v>8593</v>
      </c>
      <c r="D23" s="325">
        <v>789.30500000000006</v>
      </c>
      <c r="E23" s="325">
        <v>724.08700000000022</v>
      </c>
      <c r="F23" s="326">
        <v>6.5396259133152252</v>
      </c>
      <c r="G23" s="326">
        <v>0.37895195738663434</v>
      </c>
    </row>
    <row r="24" spans="2:7" x14ac:dyDescent="0.25">
      <c r="B24" s="323" t="s">
        <v>8613</v>
      </c>
      <c r="C24" s="323" t="s">
        <v>8595</v>
      </c>
      <c r="D24" s="325">
        <v>1364.8434703199998</v>
      </c>
      <c r="E24" s="325">
        <v>2149.5374703199996</v>
      </c>
      <c r="F24" s="326">
        <v>4.9269060420145561</v>
      </c>
      <c r="G24" s="326">
        <v>0.96889727494233946</v>
      </c>
    </row>
    <row r="25" spans="2:7" x14ac:dyDescent="0.25">
      <c r="B25" s="323" t="s">
        <v>8626</v>
      </c>
      <c r="C25" s="323" t="s">
        <v>8608</v>
      </c>
      <c r="D25" s="325">
        <v>876.32417039999996</v>
      </c>
      <c r="E25" s="325">
        <v>1651.0641704</v>
      </c>
      <c r="F25" s="326">
        <v>3.3421669738002993</v>
      </c>
      <c r="G25" s="326">
        <v>0.63099166740295798</v>
      </c>
    </row>
    <row r="27" spans="2:7" x14ac:dyDescent="0.25">
      <c r="E27" s="379" t="s">
        <v>8642</v>
      </c>
      <c r="F27" s="326">
        <f>MEDIAN(F7:F25)</f>
        <v>10.201857366018393</v>
      </c>
      <c r="G27" s="326">
        <f>MEDIAN(G7:G25)</f>
        <v>1.6989215030916711</v>
      </c>
    </row>
    <row r="28" spans="2:7" x14ac:dyDescent="0.25">
      <c r="B28" s="61" t="s">
        <v>8646</v>
      </c>
      <c r="E28" s="379" t="s">
        <v>8643</v>
      </c>
      <c r="F28" s="326">
        <f>AVERAGE(F7:F25)</f>
        <v>10.233990889950828</v>
      </c>
      <c r="G28" s="326">
        <f>AVERAGE(G7:G25)</f>
        <v>1.8297563233652592</v>
      </c>
    </row>
    <row r="31" spans="2:7" x14ac:dyDescent="0.25">
      <c r="B31" s="27" t="s">
        <v>8641</v>
      </c>
    </row>
    <row r="33" spans="2:11" x14ac:dyDescent="0.25">
      <c r="B33" s="379" t="s">
        <v>8630</v>
      </c>
      <c r="C33" s="379" t="s">
        <v>8</v>
      </c>
      <c r="D33" s="380" t="s">
        <v>8631</v>
      </c>
      <c r="E33" s="380" t="s">
        <v>8632</v>
      </c>
      <c r="F33" s="380" t="s">
        <v>8633</v>
      </c>
      <c r="G33" s="380" t="s">
        <v>8634</v>
      </c>
      <c r="H33" s="327"/>
    </row>
    <row r="34" spans="2:11" x14ac:dyDescent="0.25">
      <c r="B34" s="328" t="s">
        <v>8644</v>
      </c>
      <c r="C34" s="328" t="s">
        <v>8593</v>
      </c>
      <c r="D34" s="329">
        <f>'Alien Capital'!E250*'Alien Capital'!N301</f>
        <v>781.39499999999998</v>
      </c>
      <c r="E34" s="329">
        <f>D34+SUM('Regis Corp. model'!N474,'Regis Corp. model'!N488,'Regis Corp. model'!N495)-'Regis Corp. model'!N109</f>
        <v>716.17699999999991</v>
      </c>
      <c r="F34" s="330">
        <f>E34/SUM('Regis Corp. model'!K99:N99)</f>
        <v>6.4681863750079147</v>
      </c>
      <c r="G34" s="330">
        <f>'RGS trading comps'!E34/SUM('Regis Corp. model'!K75:N75)</f>
        <v>0.37481224767919813</v>
      </c>
      <c r="H34" s="331"/>
      <c r="K34" s="331"/>
    </row>
    <row r="35" spans="2:11" x14ac:dyDescent="0.25">
      <c r="B35" s="323" t="s">
        <v>8612</v>
      </c>
      <c r="C35" s="323" t="s">
        <v>8594</v>
      </c>
      <c r="D35" s="325">
        <f>D73</f>
        <v>5522.1700427999995</v>
      </c>
      <c r="E35" s="325">
        <f>E73</f>
        <v>5102.6940427999998</v>
      </c>
      <c r="F35" s="326">
        <f>J73</f>
        <v>11.721832088339621</v>
      </c>
      <c r="G35" s="326">
        <f>K73</f>
        <v>1.9043714626037183</v>
      </c>
      <c r="H35" s="331"/>
      <c r="K35" s="331"/>
    </row>
    <row r="36" spans="2:11" x14ac:dyDescent="0.25">
      <c r="B36" s="323" t="s">
        <v>8613</v>
      </c>
      <c r="C36" s="323" t="s">
        <v>8595</v>
      </c>
      <c r="D36" s="325">
        <f>D70</f>
        <v>1364.8434703199998</v>
      </c>
      <c r="E36" s="325">
        <f>E70</f>
        <v>2149.5374703199996</v>
      </c>
      <c r="F36" s="326">
        <f>J70</f>
        <v>4.9269060420145561</v>
      </c>
      <c r="G36" s="326">
        <f>K70</f>
        <v>0.96889727494233946</v>
      </c>
      <c r="H36" s="331"/>
      <c r="K36" s="331"/>
    </row>
    <row r="37" spans="2:11" x14ac:dyDescent="0.25">
      <c r="B37" s="323" t="s">
        <v>8614</v>
      </c>
      <c r="C37" s="323" t="s">
        <v>8596</v>
      </c>
      <c r="D37" s="325">
        <f>D74</f>
        <v>4071.7003953999997</v>
      </c>
      <c r="E37" s="325">
        <f>E74</f>
        <v>5682.7593953999994</v>
      </c>
      <c r="F37" s="326">
        <f>J74</f>
        <v>10.201857366018393</v>
      </c>
      <c r="G37" s="326">
        <f>K74</f>
        <v>1.6457915258812696</v>
      </c>
      <c r="H37" s="331"/>
      <c r="K37" s="331"/>
    </row>
    <row r="38" spans="2:11" x14ac:dyDescent="0.25">
      <c r="B38" s="323" t="s">
        <v>8615</v>
      </c>
      <c r="C38" s="323" t="s">
        <v>8597</v>
      </c>
      <c r="D38" s="325">
        <f>D72</f>
        <v>8932.299508080001</v>
      </c>
      <c r="E38" s="325">
        <f>E72</f>
        <v>8873.4125080800004</v>
      </c>
      <c r="F38" s="326">
        <f>J72</f>
        <v>9.1551281918367771</v>
      </c>
      <c r="G38" s="326">
        <f>K72</f>
        <v>1.223885654870928</v>
      </c>
      <c r="H38" s="331"/>
      <c r="K38" s="331"/>
    </row>
    <row r="39" spans="2:11" x14ac:dyDescent="0.25">
      <c r="B39" s="323" t="s">
        <v>8616</v>
      </c>
      <c r="C39" s="323" t="s">
        <v>8598</v>
      </c>
      <c r="D39" s="325">
        <f>D67</f>
        <v>1160.0523433600001</v>
      </c>
      <c r="E39" s="325">
        <f>E67</f>
        <v>5549.1553433600002</v>
      </c>
      <c r="F39" s="326">
        <f>J67</f>
        <v>9.8592542646083938</v>
      </c>
      <c r="G39" s="326">
        <f>K67</f>
        <v>1.9362030122966172</v>
      </c>
      <c r="H39" s="331"/>
      <c r="K39" s="331"/>
    </row>
    <row r="40" spans="2:11" x14ac:dyDescent="0.25">
      <c r="B40" s="323" t="s">
        <v>8617</v>
      </c>
      <c r="C40" s="323" t="s">
        <v>8599</v>
      </c>
      <c r="D40" s="325">
        <f>D58</f>
        <v>3206.6569373599996</v>
      </c>
      <c r="E40" s="325">
        <f>E58</f>
        <v>3987.1169373599996</v>
      </c>
      <c r="F40" s="326">
        <f>J58</f>
        <v>9.7636880793859806</v>
      </c>
      <c r="G40" s="326">
        <f>K58</f>
        <v>1.4278468329338727</v>
      </c>
      <c r="H40" s="331"/>
      <c r="K40" s="331"/>
    </row>
    <row r="41" spans="2:11" x14ac:dyDescent="0.25">
      <c r="B41" s="323" t="s">
        <v>8618</v>
      </c>
      <c r="C41" s="323" t="s">
        <v>8600</v>
      </c>
      <c r="D41" s="325">
        <f>D61</f>
        <v>2291.7296081700001</v>
      </c>
      <c r="E41" s="325">
        <f>E61</f>
        <v>2600.3766081700001</v>
      </c>
      <c r="F41" s="326">
        <f>J61</f>
        <v>9.9138106494167868</v>
      </c>
      <c r="G41" s="326">
        <f>K61</f>
        <v>1.0018529543036805</v>
      </c>
      <c r="H41" s="331"/>
      <c r="K41" s="331"/>
    </row>
    <row r="42" spans="2:11" x14ac:dyDescent="0.25">
      <c r="B42" s="323" t="s">
        <v>8619</v>
      </c>
      <c r="C42" s="323" t="s">
        <v>8601</v>
      </c>
      <c r="D42" s="325">
        <f>D66</f>
        <v>1493.7407066700002</v>
      </c>
      <c r="E42" s="325">
        <f>E66</f>
        <v>2736.4477066700001</v>
      </c>
      <c r="F42" s="326">
        <f>J66</f>
        <v>10.882016761160633</v>
      </c>
      <c r="G42" s="326">
        <f>K66</f>
        <v>4.248484387811307</v>
      </c>
      <c r="H42" s="331"/>
      <c r="K42" s="331"/>
    </row>
    <row r="43" spans="2:11" x14ac:dyDescent="0.25">
      <c r="B43" s="323" t="s">
        <v>8620</v>
      </c>
      <c r="C43" s="323" t="s">
        <v>8602</v>
      </c>
      <c r="D43" s="325">
        <f>D64</f>
        <v>5921.99583024</v>
      </c>
      <c r="E43" s="325">
        <f>E64</f>
        <v>6116.3608302399998</v>
      </c>
      <c r="F43" s="326">
        <f>J64</f>
        <v>10.513599000523667</v>
      </c>
      <c r="G43" s="326">
        <f>K64</f>
        <v>2.0754620202064817</v>
      </c>
      <c r="H43" s="331"/>
      <c r="K43" s="331"/>
    </row>
    <row r="44" spans="2:11" x14ac:dyDescent="0.25">
      <c r="B44" s="323" t="s">
        <v>8621</v>
      </c>
      <c r="C44" s="323" t="s">
        <v>8603</v>
      </c>
      <c r="D44" s="325">
        <f>D65</f>
        <v>626.31722693999995</v>
      </c>
      <c r="E44" s="325">
        <f>E65</f>
        <v>624.81022694000001</v>
      </c>
      <c r="F44" s="326">
        <f>J65</f>
        <v>7.995570526761794</v>
      </c>
      <c r="G44" s="326">
        <f>K65</f>
        <v>0.33085258751081614</v>
      </c>
      <c r="H44" s="331"/>
      <c r="K44" s="331"/>
    </row>
    <row r="45" spans="2:11" x14ac:dyDescent="0.25">
      <c r="B45" s="323" t="s">
        <v>8622</v>
      </c>
      <c r="C45" s="323" t="s">
        <v>8604</v>
      </c>
      <c r="D45" s="325">
        <f>D68</f>
        <v>16955.47144587</v>
      </c>
      <c r="E45" s="325">
        <f>E68</f>
        <v>16022.879445869999</v>
      </c>
      <c r="F45" s="326">
        <f>J68</f>
        <v>15.040460431089848</v>
      </c>
      <c r="G45" s="326">
        <f>K68</f>
        <v>3.6812869420809231</v>
      </c>
      <c r="H45" s="331"/>
      <c r="K45" s="331"/>
    </row>
    <row r="46" spans="2:11" x14ac:dyDescent="0.25">
      <c r="B46" s="323" t="s">
        <v>8623</v>
      </c>
      <c r="C46" s="323" t="s">
        <v>8605</v>
      </c>
      <c r="D46" s="325">
        <f>D57</f>
        <v>7609.5334050000001</v>
      </c>
      <c r="E46" s="325">
        <f>E57</f>
        <v>8273.6424050000005</v>
      </c>
      <c r="F46" s="326">
        <f>J57</f>
        <v>18.564630614054991</v>
      </c>
      <c r="G46" s="326">
        <f>K57</f>
        <v>3.513652229450547</v>
      </c>
      <c r="H46" s="331"/>
      <c r="K46" s="331"/>
    </row>
    <row r="47" spans="2:11" x14ac:dyDescent="0.25">
      <c r="B47" s="323" t="s">
        <v>8624</v>
      </c>
      <c r="C47" s="323" t="s">
        <v>8606</v>
      </c>
      <c r="D47" s="325">
        <f>D59</f>
        <v>2263.2373697200005</v>
      </c>
      <c r="E47" s="325">
        <f>E59</f>
        <v>2673.2563697200003</v>
      </c>
      <c r="F47" s="326">
        <f>J59</f>
        <v>10.07527045954153</v>
      </c>
      <c r="G47" s="326">
        <f>K59</f>
        <v>1.6989215030916711</v>
      </c>
      <c r="H47" s="331"/>
      <c r="K47" s="331"/>
    </row>
    <row r="48" spans="2:11" x14ac:dyDescent="0.25">
      <c r="B48" s="323" t="s">
        <v>8625</v>
      </c>
      <c r="C48" s="323" t="s">
        <v>8607</v>
      </c>
      <c r="D48" s="325">
        <f>D62</f>
        <v>4353.50830078125</v>
      </c>
      <c r="E48" s="325">
        <f>E62</f>
        <v>4252.4215422992702</v>
      </c>
      <c r="F48" s="326">
        <f>J62</f>
        <v>11.393461790460519</v>
      </c>
      <c r="G48" s="326">
        <f>K62</f>
        <v>1.9331390995198796</v>
      </c>
      <c r="H48" s="331"/>
      <c r="K48" s="331"/>
    </row>
    <row r="49" spans="1:16" x14ac:dyDescent="0.25">
      <c r="B49" s="323" t="s">
        <v>8626</v>
      </c>
      <c r="C49" s="323" t="s">
        <v>8608</v>
      </c>
      <c r="D49" s="325">
        <f>D71</f>
        <v>876.32417039999996</v>
      </c>
      <c r="E49" s="325">
        <f>E71</f>
        <v>1651.0641704</v>
      </c>
      <c r="F49" s="326">
        <f>J71</f>
        <v>3.3421669738002993</v>
      </c>
      <c r="G49" s="326">
        <f>K71</f>
        <v>0.63099166740295798</v>
      </c>
      <c r="H49" s="331"/>
      <c r="K49" s="331"/>
    </row>
    <row r="50" spans="1:16" x14ac:dyDescent="0.25">
      <c r="B50" s="323" t="s">
        <v>8627</v>
      </c>
      <c r="C50" s="323" t="s">
        <v>8609</v>
      </c>
      <c r="D50" s="325">
        <f>D69</f>
        <v>1599.5401611328125</v>
      </c>
      <c r="E50" s="325">
        <f>E69</f>
        <v>3341.7401863098144</v>
      </c>
      <c r="F50" s="326">
        <f>J69</f>
        <v>10.831183248213641</v>
      </c>
      <c r="G50" s="326">
        <f>K69</f>
        <v>1.9844755871991535</v>
      </c>
      <c r="H50" s="331"/>
      <c r="K50" s="331"/>
    </row>
    <row r="51" spans="1:16" x14ac:dyDescent="0.25">
      <c r="B51" s="323" t="s">
        <v>8628</v>
      </c>
      <c r="C51" s="323" t="s">
        <v>8610</v>
      </c>
      <c r="D51" s="325">
        <f>D60</f>
        <v>4035.7702601999995</v>
      </c>
      <c r="E51" s="325">
        <f>E60</f>
        <v>7129.5502601999997</v>
      </c>
      <c r="F51" s="326">
        <f>J60</f>
        <v>12.627286526802996</v>
      </c>
      <c r="G51" s="326">
        <f>K60</f>
        <v>2.7681501294267057</v>
      </c>
      <c r="H51" s="331"/>
      <c r="K51" s="331"/>
    </row>
    <row r="52" spans="1:16" x14ac:dyDescent="0.25">
      <c r="B52" s="323" t="s">
        <v>8629</v>
      </c>
      <c r="C52" s="323" t="s">
        <v>8611</v>
      </c>
      <c r="D52" s="325">
        <f>D63</f>
        <v>2208.8208849600001</v>
      </c>
      <c r="E52" s="325">
        <f>E63</f>
        <v>2147.0698849599999</v>
      </c>
      <c r="F52" s="326">
        <f>J63</f>
        <v>11.098077981720103</v>
      </c>
      <c r="G52" s="326">
        <f>K63</f>
        <v>1.4121533150204215</v>
      </c>
      <c r="H52" s="331"/>
      <c r="K52" s="331"/>
    </row>
    <row r="55" spans="1:16" x14ac:dyDescent="0.25">
      <c r="A55" s="17" t="s">
        <v>8</v>
      </c>
      <c r="B55" s="17" t="s">
        <v>407</v>
      </c>
      <c r="C55" s="17" t="s">
        <v>406</v>
      </c>
      <c r="D55" s="17" t="s">
        <v>405</v>
      </c>
      <c r="E55" s="17" t="s">
        <v>8692</v>
      </c>
      <c r="F55" s="17" t="s">
        <v>404</v>
      </c>
      <c r="G55" s="17" t="s">
        <v>403</v>
      </c>
      <c r="H55" s="332" t="s">
        <v>402</v>
      </c>
      <c r="I55" s="332" t="s">
        <v>401</v>
      </c>
      <c r="J55" s="332" t="s">
        <v>400</v>
      </c>
      <c r="K55" s="332" t="s">
        <v>399</v>
      </c>
      <c r="L55" s="17" t="s">
        <v>8693</v>
      </c>
      <c r="M55" s="17" t="s">
        <v>398</v>
      </c>
      <c r="N55" s="17" t="s">
        <v>397</v>
      </c>
      <c r="O55" s="17" t="s">
        <v>396</v>
      </c>
      <c r="P55" s="17" t="s">
        <v>395</v>
      </c>
    </row>
    <row r="56" spans="1:16" x14ac:dyDescent="0.25">
      <c r="A56" s="15" t="s">
        <v>394</v>
      </c>
      <c r="B56" s="15" t="s">
        <v>393</v>
      </c>
      <c r="C56" s="15" t="s">
        <v>392</v>
      </c>
      <c r="D56" s="15">
        <v>747.56780977999995</v>
      </c>
      <c r="E56" s="15">
        <v>680.60080977999996</v>
      </c>
      <c r="F56" s="15">
        <v>293832992</v>
      </c>
      <c r="G56" s="15">
        <v>360800000</v>
      </c>
      <c r="H56" s="61">
        <v>69.414000000000001</v>
      </c>
      <c r="I56" s="61">
        <v>69.244</v>
      </c>
      <c r="J56" s="61">
        <v>10.246611300618103</v>
      </c>
      <c r="K56" s="61">
        <v>0.37132638858214678</v>
      </c>
      <c r="L56" s="15">
        <v>1910.7619999999999</v>
      </c>
      <c r="M56" s="15">
        <v>0.61058699999999999</v>
      </c>
      <c r="O56" s="15">
        <v>42.574103999999998</v>
      </c>
    </row>
    <row r="57" spans="1:16" x14ac:dyDescent="0.25">
      <c r="A57" s="15" t="s">
        <v>358</v>
      </c>
      <c r="B57" s="15" t="s">
        <v>357</v>
      </c>
      <c r="C57" s="15" t="s">
        <v>356</v>
      </c>
      <c r="D57" s="15">
        <v>7609.5334050000001</v>
      </c>
      <c r="E57" s="15">
        <v>8273.6424050000005</v>
      </c>
      <c r="F57" s="15">
        <v>1101512960</v>
      </c>
      <c r="G57" s="15">
        <v>437404000</v>
      </c>
      <c r="H57" s="61">
        <v>688.7120000000001</v>
      </c>
      <c r="I57" s="61">
        <v>484.81</v>
      </c>
      <c r="J57" s="61">
        <v>18.564630614054991</v>
      </c>
      <c r="K57" s="61">
        <v>3.513652229450547</v>
      </c>
      <c r="L57" s="15">
        <v>2561.5279999999998</v>
      </c>
      <c r="M57" s="15">
        <v>24.146294000000001</v>
      </c>
      <c r="N57" s="15">
        <v>20.152811</v>
      </c>
      <c r="P57" s="15">
        <v>0</v>
      </c>
    </row>
    <row r="58" spans="1:16" x14ac:dyDescent="0.25">
      <c r="A58" s="15" t="s">
        <v>376</v>
      </c>
      <c r="B58" s="15" t="s">
        <v>375</v>
      </c>
      <c r="C58" s="15" t="s">
        <v>374</v>
      </c>
      <c r="D58" s="15">
        <v>3206.6569373599996</v>
      </c>
      <c r="E58" s="15">
        <v>3987.1169373599996</v>
      </c>
      <c r="F58" s="15">
        <v>845068992</v>
      </c>
      <c r="G58" s="15">
        <v>64609000</v>
      </c>
      <c r="H58" s="61">
        <v>345.15199999999999</v>
      </c>
      <c r="I58" s="61">
        <v>420.70400000000001</v>
      </c>
      <c r="J58" s="61">
        <v>9.7636880793859806</v>
      </c>
      <c r="K58" s="61">
        <v>1.4278468329338727</v>
      </c>
      <c r="L58" s="15">
        <v>2876.7949999999996</v>
      </c>
      <c r="M58" s="15">
        <v>9.6298510000000004</v>
      </c>
      <c r="N58" s="15">
        <v>21.168707000000001</v>
      </c>
      <c r="O58" s="15">
        <v>73.353797999999998</v>
      </c>
      <c r="P58" s="15">
        <v>0</v>
      </c>
    </row>
    <row r="59" spans="1:16" x14ac:dyDescent="0.25">
      <c r="A59" s="15" t="s">
        <v>355</v>
      </c>
      <c r="B59" s="15" t="s">
        <v>354</v>
      </c>
      <c r="C59" s="15" t="s">
        <v>353</v>
      </c>
      <c r="D59" s="15">
        <v>2263.2373697200005</v>
      </c>
      <c r="E59" s="15">
        <v>2673.2563697200003</v>
      </c>
      <c r="F59" s="15">
        <v>419952000</v>
      </c>
      <c r="G59" s="15">
        <v>9933000</v>
      </c>
      <c r="H59" s="61">
        <v>132.55900000000003</v>
      </c>
      <c r="I59" s="61">
        <v>251.92500000000001</v>
      </c>
      <c r="J59" s="61">
        <v>10.07527045954153</v>
      </c>
      <c r="K59" s="61">
        <v>1.6989215030916711</v>
      </c>
      <c r="L59" s="15">
        <v>1494.0140000000001</v>
      </c>
      <c r="M59" s="15">
        <v>9.8669209999999996</v>
      </c>
      <c r="N59" s="15">
        <v>16.449829000000001</v>
      </c>
      <c r="O59" s="15">
        <v>24.676365000000001</v>
      </c>
      <c r="P59" s="15">
        <v>0</v>
      </c>
    </row>
    <row r="60" spans="1:16" x14ac:dyDescent="0.25">
      <c r="A60" s="15" t="s">
        <v>343</v>
      </c>
      <c r="B60" s="15" t="s">
        <v>342</v>
      </c>
      <c r="C60" s="15" t="s">
        <v>341</v>
      </c>
      <c r="D60" s="15">
        <v>4035.7702601999995</v>
      </c>
      <c r="E60" s="15">
        <v>7129.5502601999997</v>
      </c>
      <c r="F60" s="15">
        <v>3239630080</v>
      </c>
      <c r="G60" s="15">
        <v>148619008</v>
      </c>
      <c r="H60" s="61">
        <v>361.47199999999998</v>
      </c>
      <c r="I60" s="61">
        <v>581.18500000000006</v>
      </c>
      <c r="J60" s="61">
        <v>12.627286526802996</v>
      </c>
      <c r="K60" s="61">
        <v>2.7681501294267057</v>
      </c>
      <c r="L60" s="15">
        <v>2651.1530000000002</v>
      </c>
      <c r="M60" s="15">
        <v>15.429345</v>
      </c>
      <c r="N60" s="15">
        <v>5.5990279999999997</v>
      </c>
      <c r="O60" s="15">
        <v>21.497923</v>
      </c>
      <c r="P60" s="15">
        <v>2769000</v>
      </c>
    </row>
    <row r="61" spans="1:16" x14ac:dyDescent="0.25">
      <c r="A61" s="15" t="s">
        <v>373</v>
      </c>
      <c r="B61" s="15" t="s">
        <v>372</v>
      </c>
      <c r="C61" s="15" t="s">
        <v>371</v>
      </c>
      <c r="D61" s="15">
        <v>2291.7296081700001</v>
      </c>
      <c r="E61" s="15">
        <v>2600.3766081700001</v>
      </c>
      <c r="F61" s="15">
        <v>400000000</v>
      </c>
      <c r="G61" s="15">
        <v>91353000</v>
      </c>
      <c r="H61" s="61">
        <v>189.76500000000001</v>
      </c>
      <c r="I61" s="61">
        <v>269.02599999999995</v>
      </c>
      <c r="J61" s="61">
        <v>9.9138106494167868</v>
      </c>
      <c r="K61" s="61">
        <v>1.0018529543036805</v>
      </c>
      <c r="L61" s="15">
        <v>2662.14</v>
      </c>
      <c r="M61" s="15">
        <v>7.6201210000000001</v>
      </c>
      <c r="N61" s="15">
        <v>15.225726999999999</v>
      </c>
      <c r="O61" s="15">
        <v>67.682281000000003</v>
      </c>
      <c r="P61" s="15">
        <v>0</v>
      </c>
    </row>
    <row r="62" spans="1:16" x14ac:dyDescent="0.25">
      <c r="A62" s="15" t="s">
        <v>352</v>
      </c>
      <c r="B62" s="15" t="s">
        <v>351</v>
      </c>
      <c r="C62" s="15" t="s">
        <v>350</v>
      </c>
      <c r="D62" s="15">
        <v>4353.50830078125</v>
      </c>
      <c r="E62" s="15">
        <v>4252.4215422992702</v>
      </c>
      <c r="F62" s="15">
        <v>0</v>
      </c>
      <c r="G62" s="15">
        <v>101087000</v>
      </c>
      <c r="H62" s="61">
        <v>331.42900000000003</v>
      </c>
      <c r="I62" s="61">
        <v>412.05599999999998</v>
      </c>
      <c r="J62" s="61">
        <v>11.393461790460519</v>
      </c>
      <c r="K62" s="61">
        <v>1.9331390995198796</v>
      </c>
      <c r="L62" s="15">
        <v>2428.56</v>
      </c>
      <c r="M62" s="15">
        <v>12.987662</v>
      </c>
      <c r="N62" s="15">
        <v>25.085749</v>
      </c>
      <c r="O62" s="15">
        <v>67.807907</v>
      </c>
      <c r="P62" s="15">
        <v>0</v>
      </c>
    </row>
    <row r="63" spans="1:16" x14ac:dyDescent="0.25">
      <c r="A63" s="15" t="s">
        <v>340</v>
      </c>
      <c r="B63" s="15" t="s">
        <v>339</v>
      </c>
      <c r="C63" s="15" t="s">
        <v>338</v>
      </c>
      <c r="D63" s="15">
        <v>2208.8208849600001</v>
      </c>
      <c r="E63" s="15">
        <v>2147.0698849599999</v>
      </c>
      <c r="F63" s="15">
        <v>0</v>
      </c>
      <c r="G63" s="15">
        <v>61751000</v>
      </c>
      <c r="H63" s="61">
        <v>204.78500000000003</v>
      </c>
      <c r="I63" s="61">
        <v>235.8</v>
      </c>
      <c r="J63" s="61">
        <v>11.098077981720103</v>
      </c>
      <c r="K63" s="61">
        <v>1.4121533150204215</v>
      </c>
      <c r="L63" s="15">
        <v>1896.3230000000001</v>
      </c>
      <c r="M63" s="15">
        <v>8.5410380000000004</v>
      </c>
      <c r="N63" s="15">
        <v>17.815771000000002</v>
      </c>
      <c r="O63" s="15">
        <v>75.734459000000001</v>
      </c>
      <c r="P63" s="15">
        <v>0</v>
      </c>
    </row>
    <row r="64" spans="1:16" x14ac:dyDescent="0.25">
      <c r="A64" s="15" t="s">
        <v>367</v>
      </c>
      <c r="B64" s="15" t="s">
        <v>366</v>
      </c>
      <c r="C64" s="15" t="s">
        <v>365</v>
      </c>
      <c r="D64" s="15">
        <v>5921.99583024</v>
      </c>
      <c r="E64" s="15">
        <v>6116.3608302399998</v>
      </c>
      <c r="F64" s="15">
        <v>508153984</v>
      </c>
      <c r="G64" s="15">
        <v>320479008</v>
      </c>
      <c r="H64" s="61">
        <v>411.68200000000002</v>
      </c>
      <c r="I64" s="61">
        <v>643.53700000000003</v>
      </c>
      <c r="J64" s="61">
        <v>10.513599000523667</v>
      </c>
      <c r="K64" s="61">
        <v>2.0754620202064817</v>
      </c>
      <c r="L64" s="15">
        <v>3259.944</v>
      </c>
      <c r="M64" s="15">
        <v>17.227024</v>
      </c>
      <c r="N64" s="15">
        <v>24.64226</v>
      </c>
      <c r="O64" s="15">
        <v>57.107441000000001</v>
      </c>
      <c r="P64" s="15">
        <v>6690000</v>
      </c>
    </row>
    <row r="65" spans="1:16" x14ac:dyDescent="0.25">
      <c r="A65" s="15" t="s">
        <v>364</v>
      </c>
      <c r="B65" s="15" t="s">
        <v>363</v>
      </c>
      <c r="C65" s="15" t="s">
        <v>362</v>
      </c>
      <c r="D65" s="15">
        <v>626.31722693999995</v>
      </c>
      <c r="E65" s="15">
        <v>624.81022694000001</v>
      </c>
      <c r="F65" s="15">
        <v>5218000</v>
      </c>
      <c r="G65" s="15">
        <v>6725000</v>
      </c>
      <c r="H65" s="61">
        <v>58.860999999999997</v>
      </c>
      <c r="I65" s="61">
        <v>80.245000000000005</v>
      </c>
      <c r="J65" s="61">
        <v>7.995570526761794</v>
      </c>
      <c r="K65" s="61">
        <v>0.33085258751081614</v>
      </c>
      <c r="L65" s="15">
        <v>1939.2460000000001</v>
      </c>
      <c r="M65" s="15">
        <v>2.0213009999999998</v>
      </c>
      <c r="N65" s="15">
        <v>5.5206790000000003</v>
      </c>
      <c r="O65" s="15">
        <v>28.920570000000001</v>
      </c>
      <c r="P65" s="15">
        <v>0</v>
      </c>
    </row>
    <row r="66" spans="1:16" x14ac:dyDescent="0.25">
      <c r="A66" s="15" t="s">
        <v>370</v>
      </c>
      <c r="B66" s="15" t="s">
        <v>369</v>
      </c>
      <c r="C66" s="15" t="s">
        <v>368</v>
      </c>
      <c r="D66" s="15">
        <v>1493.7407066700002</v>
      </c>
      <c r="E66" s="15">
        <v>2736.4477066700001</v>
      </c>
      <c r="F66" s="15">
        <v>1375924992</v>
      </c>
      <c r="G66" s="15">
        <v>133218000</v>
      </c>
      <c r="H66" s="61">
        <v>109.429</v>
      </c>
      <c r="I66" s="61">
        <v>251.62099999999998</v>
      </c>
      <c r="J66" s="61">
        <v>10.882016761160633</v>
      </c>
      <c r="K66" s="61">
        <v>4.248484387811307</v>
      </c>
      <c r="L66" s="15">
        <v>644.49900000000002</v>
      </c>
      <c r="M66" s="15">
        <v>33.385638999999998</v>
      </c>
      <c r="N66" s="15">
        <v>6.903988</v>
      </c>
      <c r="O66" s="15">
        <v>57.722256000000002</v>
      </c>
      <c r="P66" s="15">
        <v>0</v>
      </c>
    </row>
    <row r="67" spans="1:16" x14ac:dyDescent="0.25">
      <c r="A67" s="15" t="s">
        <v>379</v>
      </c>
      <c r="B67" s="15" t="s">
        <v>378</v>
      </c>
      <c r="C67" s="15" t="s">
        <v>377</v>
      </c>
      <c r="D67" s="15">
        <v>1160.0523433600001</v>
      </c>
      <c r="E67" s="15">
        <v>5549.1553433600002</v>
      </c>
      <c r="F67" s="15">
        <v>4386490880</v>
      </c>
      <c r="G67" s="15">
        <v>177838000</v>
      </c>
      <c r="H67" s="61">
        <v>168.63099999999997</v>
      </c>
      <c r="I67" s="61">
        <v>554.49699999999996</v>
      </c>
      <c r="J67" s="61">
        <v>9.8592542646083938</v>
      </c>
      <c r="K67" s="61">
        <v>1.9362030122966172</v>
      </c>
      <c r="L67" s="15">
        <v>2867.2030000000004</v>
      </c>
      <c r="M67" s="15">
        <v>10.166395</v>
      </c>
      <c r="O67" s="15">
        <v>45.175471999999999</v>
      </c>
      <c r="P67" s="15">
        <v>180450000</v>
      </c>
    </row>
    <row r="68" spans="1:16" x14ac:dyDescent="0.25">
      <c r="A68" s="15" t="s">
        <v>361</v>
      </c>
      <c r="B68" s="15" t="s">
        <v>360</v>
      </c>
      <c r="C68" s="15" t="s">
        <v>359</v>
      </c>
      <c r="D68" s="15">
        <v>16955.47144587</v>
      </c>
      <c r="E68" s="15">
        <v>16022.879445869999</v>
      </c>
      <c r="F68" s="15">
        <v>168698000</v>
      </c>
      <c r="G68" s="15">
        <v>1112155008</v>
      </c>
      <c r="H68" s="61">
        <v>824.904</v>
      </c>
      <c r="I68" s="61">
        <v>1102.3920000000001</v>
      </c>
      <c r="J68" s="61">
        <v>15.040460431089848</v>
      </c>
      <c r="K68" s="61">
        <v>3.6812869420809231</v>
      </c>
      <c r="L68" s="15">
        <v>4503.991</v>
      </c>
      <c r="M68" s="15">
        <v>17.558729</v>
      </c>
      <c r="N68" s="15">
        <v>16.298462000000001</v>
      </c>
      <c r="O68" s="15">
        <v>37.158073000000002</v>
      </c>
      <c r="P68" s="15">
        <v>10865000</v>
      </c>
    </row>
    <row r="69" spans="1:16" x14ac:dyDescent="0.25">
      <c r="A69" s="15" t="s">
        <v>346</v>
      </c>
      <c r="B69" s="15" t="s">
        <v>345</v>
      </c>
      <c r="C69" s="15" t="s">
        <v>344</v>
      </c>
      <c r="D69" s="15">
        <v>1599.5401611328125</v>
      </c>
      <c r="E69" s="15">
        <v>3341.7401863098144</v>
      </c>
      <c r="F69" s="15">
        <v>1935600000</v>
      </c>
      <c r="G69" s="15">
        <v>244100000</v>
      </c>
      <c r="H69" s="61">
        <v>123.3</v>
      </c>
      <c r="I69" s="61">
        <v>277.10000000000002</v>
      </c>
      <c r="J69" s="61">
        <v>10.831183248213641</v>
      </c>
      <c r="K69" s="61">
        <v>1.9844755871991535</v>
      </c>
      <c r="L69" s="15">
        <v>1650.3</v>
      </c>
      <c r="M69" s="15">
        <v>14.23028</v>
      </c>
      <c r="N69" s="15">
        <v>7.7443679999999997</v>
      </c>
      <c r="O69" s="15">
        <v>63.531143</v>
      </c>
      <c r="P69" s="15">
        <v>0</v>
      </c>
    </row>
    <row r="70" spans="1:16" x14ac:dyDescent="0.25">
      <c r="A70" s="15" t="s">
        <v>388</v>
      </c>
      <c r="B70" s="15" t="s">
        <v>387</v>
      </c>
      <c r="C70" s="15" t="s">
        <v>386</v>
      </c>
      <c r="D70" s="15">
        <v>1364.8434703199998</v>
      </c>
      <c r="E70" s="15">
        <v>2149.5374703199996</v>
      </c>
      <c r="F70" s="15">
        <v>1036240000</v>
      </c>
      <c r="G70" s="15">
        <v>251546000</v>
      </c>
      <c r="H70" s="61">
        <v>377.29399999999998</v>
      </c>
      <c r="I70" s="61">
        <v>459.31700000000001</v>
      </c>
      <c r="J70" s="61">
        <v>4.9269060420145561</v>
      </c>
      <c r="K70" s="61">
        <v>0.96889727494233946</v>
      </c>
      <c r="L70" s="15">
        <v>2335.6570000000002</v>
      </c>
      <c r="M70" s="15">
        <v>11.313964</v>
      </c>
      <c r="N70" s="15">
        <v>18.533888000000001</v>
      </c>
      <c r="O70" s="15">
        <v>31.7057</v>
      </c>
    </row>
    <row r="71" spans="1:16" x14ac:dyDescent="0.25">
      <c r="A71" s="15" t="s">
        <v>349</v>
      </c>
      <c r="B71" s="15" t="s">
        <v>348</v>
      </c>
      <c r="C71" s="15" t="s">
        <v>347</v>
      </c>
      <c r="D71" s="15">
        <v>876.32417039999996</v>
      </c>
      <c r="E71" s="15">
        <v>1651.0641704</v>
      </c>
      <c r="F71" s="15">
        <v>1062435008</v>
      </c>
      <c r="G71" s="15">
        <v>287695008</v>
      </c>
      <c r="H71" s="61">
        <v>330.62199999999996</v>
      </c>
      <c r="I71" s="61">
        <v>521.38</v>
      </c>
      <c r="J71" s="61">
        <v>3.3421669738002993</v>
      </c>
      <c r="K71" s="61">
        <v>0.63099166740295798</v>
      </c>
      <c r="L71" s="15">
        <v>2761.5879999999997</v>
      </c>
      <c r="M71" s="15">
        <v>12.352976999999999</v>
      </c>
      <c r="O71" s="15">
        <v>42.993107000000002</v>
      </c>
      <c r="P71" s="15">
        <v>0</v>
      </c>
    </row>
    <row r="72" spans="1:16" x14ac:dyDescent="0.25">
      <c r="A72" s="15" t="s">
        <v>382</v>
      </c>
      <c r="B72" s="15" t="s">
        <v>381</v>
      </c>
      <c r="C72" s="15" t="s">
        <v>380</v>
      </c>
      <c r="D72" s="15">
        <v>8932.299508080001</v>
      </c>
      <c r="E72" s="15">
        <v>8873.4125080800004</v>
      </c>
      <c r="F72" s="15">
        <v>1053584000</v>
      </c>
      <c r="G72" s="15">
        <v>1112471040</v>
      </c>
      <c r="H72" s="61">
        <v>545.25</v>
      </c>
      <c r="I72" s="61">
        <v>868.11300000000006</v>
      </c>
      <c r="J72" s="61">
        <v>9.1551281918367771</v>
      </c>
      <c r="K72" s="61">
        <v>1.223885654870928</v>
      </c>
      <c r="L72" s="15">
        <v>6493.8140000000003</v>
      </c>
      <c r="M72" s="15">
        <v>10.168416000000001</v>
      </c>
      <c r="N72" s="15">
        <v>18.010386</v>
      </c>
      <c r="O72" s="15">
        <v>50.080677000000001</v>
      </c>
      <c r="P72" s="15">
        <v>0</v>
      </c>
    </row>
    <row r="73" spans="1:16" x14ac:dyDescent="0.25">
      <c r="A73" s="15" t="s">
        <v>391</v>
      </c>
      <c r="B73" s="15" t="s">
        <v>390</v>
      </c>
      <c r="C73" s="15" t="s">
        <v>389</v>
      </c>
      <c r="D73" s="15">
        <v>5522.1700427999995</v>
      </c>
      <c r="E73" s="15">
        <v>5102.6940427999998</v>
      </c>
      <c r="F73" s="15">
        <v>0</v>
      </c>
      <c r="G73" s="15">
        <v>419476000</v>
      </c>
      <c r="H73" s="61">
        <v>327.72500000000002</v>
      </c>
      <c r="I73" s="61">
        <v>433.87099999999998</v>
      </c>
      <c r="J73" s="61">
        <v>11.721832088339621</v>
      </c>
      <c r="K73" s="61">
        <v>1.9043714626037183</v>
      </c>
      <c r="L73" s="15">
        <v>2670.5729999999999</v>
      </c>
      <c r="M73" s="15">
        <v>12.266581</v>
      </c>
      <c r="N73" s="15">
        <v>21.828147999999999</v>
      </c>
      <c r="O73" s="15">
        <v>35.245170999999999</v>
      </c>
      <c r="P73" s="15">
        <v>0</v>
      </c>
    </row>
    <row r="74" spans="1:16" x14ac:dyDescent="0.25">
      <c r="A74" s="15" t="s">
        <v>385</v>
      </c>
      <c r="B74" s="15" t="s">
        <v>384</v>
      </c>
      <c r="C74" s="15" t="s">
        <v>383</v>
      </c>
      <c r="D74" s="15">
        <v>4071.7003953999997</v>
      </c>
      <c r="E74" s="15">
        <v>5682.7593953999994</v>
      </c>
      <c r="F74" s="15">
        <v>1813510016</v>
      </c>
      <c r="G74" s="15">
        <v>202451008</v>
      </c>
      <c r="H74" s="61">
        <v>333.18700000000001</v>
      </c>
      <c r="I74" s="61">
        <v>593.42099999999994</v>
      </c>
      <c r="J74" s="61">
        <v>10.201857366018393</v>
      </c>
      <c r="K74" s="61">
        <v>1.6457915258812696</v>
      </c>
      <c r="L74" s="15">
        <v>3678.471</v>
      </c>
      <c r="M74" s="15">
        <v>14.365847</v>
      </c>
      <c r="N74" s="15">
        <v>22.057575</v>
      </c>
      <c r="O74" s="15">
        <v>49.562561000000002</v>
      </c>
      <c r="P74" s="15">
        <v>0</v>
      </c>
    </row>
  </sheetData>
  <sortState ref="B30:G48">
    <sortCondition descending="1" ref="F30:F48"/>
  </sortState>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004"/>
  <sheetViews>
    <sheetView showGridLines="0" zoomScale="80" zoomScaleNormal="80" workbookViewId="0">
      <selection activeCell="A2" sqref="A2"/>
    </sheetView>
  </sheetViews>
  <sheetFormatPr defaultRowHeight="15" x14ac:dyDescent="0.25"/>
  <cols>
    <col min="1" max="1" width="9.140625" style="333"/>
    <col min="2" max="2" width="10.85546875" style="333" bestFit="1" customWidth="1"/>
    <col min="3" max="3" width="16.28515625" style="333" bestFit="1" customWidth="1"/>
    <col min="4" max="4" width="34.5703125" style="333" customWidth="1"/>
    <col min="5" max="5" width="38" style="333" customWidth="1"/>
    <col min="6" max="6" width="31.5703125" style="334" customWidth="1"/>
    <col min="7" max="7" width="30.42578125" style="334" customWidth="1"/>
    <col min="8" max="8" width="19.42578125" style="334" bestFit="1" customWidth="1"/>
    <col min="9" max="9" width="15.42578125" style="334" customWidth="1"/>
    <col min="10" max="10" width="30.140625" style="335" bestFit="1" customWidth="1"/>
    <col min="11" max="11" width="31.5703125" style="335" bestFit="1" customWidth="1"/>
    <col min="12" max="12" width="29.85546875" style="335" bestFit="1" customWidth="1"/>
    <col min="13" max="13" width="31.28515625" style="335" bestFit="1" customWidth="1"/>
    <col min="14" max="15" width="24.140625" style="334" bestFit="1" customWidth="1"/>
    <col min="16" max="16" width="24.5703125" style="334" bestFit="1" customWidth="1"/>
    <col min="17" max="18" width="20.28515625" style="333" customWidth="1"/>
    <col min="19" max="16384" width="9.140625" style="333"/>
  </cols>
  <sheetData>
    <row r="2" spans="2:16" x14ac:dyDescent="0.25">
      <c r="B2" s="333" t="s">
        <v>8645</v>
      </c>
    </row>
    <row r="4" spans="2:16" x14ac:dyDescent="0.25">
      <c r="B4" s="197" t="s">
        <v>8592</v>
      </c>
      <c r="C4" s="197" t="s">
        <v>8591</v>
      </c>
      <c r="D4" s="197" t="s">
        <v>8590</v>
      </c>
      <c r="E4" s="197" t="s">
        <v>8589</v>
      </c>
      <c r="F4" s="198" t="s">
        <v>8588</v>
      </c>
      <c r="G4" s="198" t="s">
        <v>8587</v>
      </c>
      <c r="H4" s="198" t="s">
        <v>8586</v>
      </c>
      <c r="I4" s="198" t="s">
        <v>8585</v>
      </c>
      <c r="J4" s="199" t="s">
        <v>8584</v>
      </c>
      <c r="K4" s="199" t="s">
        <v>8583</v>
      </c>
      <c r="L4" s="199" t="s">
        <v>8582</v>
      </c>
      <c r="M4" s="199" t="s">
        <v>8581</v>
      </c>
      <c r="N4" s="198" t="s">
        <v>8580</v>
      </c>
      <c r="O4" s="198" t="s">
        <v>8579</v>
      </c>
      <c r="P4" s="198" t="s">
        <v>8578</v>
      </c>
    </row>
    <row r="5" spans="2:16" x14ac:dyDescent="0.25">
      <c r="B5" s="336" t="s">
        <v>459</v>
      </c>
      <c r="C5" s="337">
        <v>41724</v>
      </c>
      <c r="D5" s="338" t="s">
        <v>8577</v>
      </c>
      <c r="E5" s="338" t="s">
        <v>4760</v>
      </c>
      <c r="F5" s="338"/>
      <c r="G5" s="338" t="s">
        <v>413</v>
      </c>
      <c r="H5" s="338" t="s">
        <v>412</v>
      </c>
      <c r="I5" s="338" t="s">
        <v>411</v>
      </c>
      <c r="J5" s="339"/>
      <c r="K5" s="339"/>
      <c r="L5" s="339" t="s">
        <v>409</v>
      </c>
      <c r="M5" s="339" t="s">
        <v>409</v>
      </c>
      <c r="N5" s="338" t="s">
        <v>417</v>
      </c>
      <c r="O5" s="338" t="s">
        <v>409</v>
      </c>
      <c r="P5" s="338" t="s">
        <v>417</v>
      </c>
    </row>
    <row r="6" spans="2:16" x14ac:dyDescent="0.25">
      <c r="B6" s="336" t="s">
        <v>416</v>
      </c>
      <c r="C6" s="337">
        <v>41723</v>
      </c>
      <c r="D6" s="338" t="s">
        <v>8576</v>
      </c>
      <c r="E6" s="338" t="s">
        <v>2058</v>
      </c>
      <c r="F6" s="338" t="s">
        <v>8575</v>
      </c>
      <c r="G6" s="338" t="s">
        <v>413</v>
      </c>
      <c r="H6" s="338" t="s">
        <v>425</v>
      </c>
      <c r="I6" s="338" t="s">
        <v>411</v>
      </c>
      <c r="J6" s="339"/>
      <c r="K6" s="339"/>
      <c r="L6" s="339"/>
      <c r="M6" s="339"/>
      <c r="N6" s="338"/>
      <c r="O6" s="338" t="s">
        <v>417</v>
      </c>
      <c r="P6" s="338" t="s">
        <v>417</v>
      </c>
    </row>
    <row r="7" spans="2:16" x14ac:dyDescent="0.25">
      <c r="B7" s="336" t="s">
        <v>416</v>
      </c>
      <c r="C7" s="337">
        <v>41723</v>
      </c>
      <c r="D7" s="338" t="s">
        <v>7717</v>
      </c>
      <c r="E7" s="338" t="s">
        <v>8574</v>
      </c>
      <c r="F7" s="338"/>
      <c r="G7" s="338" t="s">
        <v>413</v>
      </c>
      <c r="H7" s="338" t="s">
        <v>412</v>
      </c>
      <c r="I7" s="338" t="s">
        <v>411</v>
      </c>
      <c r="J7" s="339"/>
      <c r="K7" s="339"/>
      <c r="L7" s="339" t="s">
        <v>409</v>
      </c>
      <c r="M7" s="339" t="s">
        <v>409</v>
      </c>
      <c r="N7" s="338" t="s">
        <v>417</v>
      </c>
      <c r="O7" s="338" t="s">
        <v>409</v>
      </c>
      <c r="P7" s="338" t="s">
        <v>605</v>
      </c>
    </row>
    <row r="8" spans="2:16" x14ac:dyDescent="0.25">
      <c r="B8" s="336" t="s">
        <v>416</v>
      </c>
      <c r="C8" s="337">
        <v>41723</v>
      </c>
      <c r="D8" s="338" t="s">
        <v>8573</v>
      </c>
      <c r="E8" s="338" t="s">
        <v>7156</v>
      </c>
      <c r="F8" s="338"/>
      <c r="G8" s="338" t="s">
        <v>413</v>
      </c>
      <c r="H8" s="338" t="s">
        <v>412</v>
      </c>
      <c r="I8" s="338" t="s">
        <v>411</v>
      </c>
      <c r="J8" s="339"/>
      <c r="K8" s="339"/>
      <c r="L8" s="339" t="s">
        <v>409</v>
      </c>
      <c r="M8" s="339" t="s">
        <v>409</v>
      </c>
      <c r="N8" s="338" t="s">
        <v>417</v>
      </c>
      <c r="O8" s="338" t="s">
        <v>409</v>
      </c>
      <c r="P8" s="338" t="s">
        <v>417</v>
      </c>
    </row>
    <row r="9" spans="2:16" x14ac:dyDescent="0.25">
      <c r="B9" s="336" t="s">
        <v>416</v>
      </c>
      <c r="C9" s="337">
        <v>41722</v>
      </c>
      <c r="D9" s="338" t="s">
        <v>6010</v>
      </c>
      <c r="E9" s="338" t="s">
        <v>573</v>
      </c>
      <c r="F9" s="338"/>
      <c r="G9" s="338">
        <v>500</v>
      </c>
      <c r="H9" s="338" t="s">
        <v>425</v>
      </c>
      <c r="I9" s="338" t="s">
        <v>1243</v>
      </c>
      <c r="J9" s="339"/>
      <c r="K9" s="339"/>
      <c r="L9" s="339" t="s">
        <v>409</v>
      </c>
      <c r="M9" s="339" t="s">
        <v>409</v>
      </c>
      <c r="N9" s="338" t="s">
        <v>417</v>
      </c>
      <c r="O9" s="338" t="s">
        <v>409</v>
      </c>
      <c r="P9" s="338" t="s">
        <v>432</v>
      </c>
    </row>
    <row r="10" spans="2:16" x14ac:dyDescent="0.25">
      <c r="B10" s="336" t="s">
        <v>459</v>
      </c>
      <c r="C10" s="337">
        <v>41722</v>
      </c>
      <c r="D10" s="338" t="s">
        <v>8572</v>
      </c>
      <c r="E10" s="338" t="s">
        <v>8571</v>
      </c>
      <c r="F10" s="338"/>
      <c r="G10" s="338" t="s">
        <v>413</v>
      </c>
      <c r="H10" s="338" t="s">
        <v>412</v>
      </c>
      <c r="I10" s="338" t="s">
        <v>1243</v>
      </c>
      <c r="J10" s="339"/>
      <c r="K10" s="339"/>
      <c r="L10" s="339" t="s">
        <v>409</v>
      </c>
      <c r="M10" s="339" t="s">
        <v>409</v>
      </c>
      <c r="N10" s="338" t="s">
        <v>417</v>
      </c>
      <c r="O10" s="338" t="s">
        <v>409</v>
      </c>
      <c r="P10" s="338" t="s">
        <v>417</v>
      </c>
    </row>
    <row r="11" spans="2:16" x14ac:dyDescent="0.25">
      <c r="B11" s="336" t="s">
        <v>416</v>
      </c>
      <c r="C11" s="337">
        <v>41722</v>
      </c>
      <c r="D11" s="338" t="s">
        <v>8570</v>
      </c>
      <c r="E11" s="338" t="s">
        <v>485</v>
      </c>
      <c r="F11" s="338"/>
      <c r="G11" s="338">
        <v>11.06</v>
      </c>
      <c r="H11" s="338" t="s">
        <v>780</v>
      </c>
      <c r="I11" s="338" t="s">
        <v>1243</v>
      </c>
      <c r="J11" s="339"/>
      <c r="K11" s="339"/>
      <c r="L11" s="339" t="s">
        <v>409</v>
      </c>
      <c r="M11" s="339" t="s">
        <v>409</v>
      </c>
      <c r="N11" s="338"/>
      <c r="O11" s="338" t="s">
        <v>409</v>
      </c>
      <c r="P11" s="338" t="s">
        <v>417</v>
      </c>
    </row>
    <row r="12" spans="2:16" x14ac:dyDescent="0.25">
      <c r="B12" s="336" t="s">
        <v>459</v>
      </c>
      <c r="C12" s="337">
        <v>41721</v>
      </c>
      <c r="D12" s="338" t="s">
        <v>8569</v>
      </c>
      <c r="E12" s="338" t="s">
        <v>7142</v>
      </c>
      <c r="F12" s="338"/>
      <c r="G12" s="338">
        <v>22.5</v>
      </c>
      <c r="H12" s="338" t="s">
        <v>425</v>
      </c>
      <c r="I12" s="338" t="s">
        <v>411</v>
      </c>
      <c r="J12" s="339"/>
      <c r="K12" s="339"/>
      <c r="L12" s="339" t="s">
        <v>409</v>
      </c>
      <c r="M12" s="339" t="s">
        <v>409</v>
      </c>
      <c r="N12" s="338" t="s">
        <v>612</v>
      </c>
      <c r="O12" s="338" t="s">
        <v>409</v>
      </c>
      <c r="P12" s="338" t="s">
        <v>417</v>
      </c>
    </row>
    <row r="13" spans="2:16" x14ac:dyDescent="0.25">
      <c r="B13" s="336" t="s">
        <v>459</v>
      </c>
      <c r="C13" s="337">
        <v>41718</v>
      </c>
      <c r="D13" s="338" t="s">
        <v>8568</v>
      </c>
      <c r="E13" s="338" t="s">
        <v>1733</v>
      </c>
      <c r="F13" s="338"/>
      <c r="G13" s="338" t="s">
        <v>413</v>
      </c>
      <c r="H13" s="338" t="s">
        <v>425</v>
      </c>
      <c r="I13" s="338" t="s">
        <v>411</v>
      </c>
      <c r="J13" s="339">
        <v>0.52064299999999997</v>
      </c>
      <c r="K13" s="339">
        <v>4.6924400000000004</v>
      </c>
      <c r="L13" s="339" t="s">
        <v>409</v>
      </c>
      <c r="M13" s="339" t="s">
        <v>409</v>
      </c>
      <c r="N13" s="338" t="s">
        <v>417</v>
      </c>
      <c r="O13" s="338" t="s">
        <v>409</v>
      </c>
      <c r="P13" s="338" t="s">
        <v>443</v>
      </c>
    </row>
    <row r="14" spans="2:16" x14ac:dyDescent="0.25">
      <c r="B14" s="336" t="s">
        <v>459</v>
      </c>
      <c r="C14" s="337">
        <v>41718</v>
      </c>
      <c r="D14" s="338" t="s">
        <v>8567</v>
      </c>
      <c r="E14" s="338" t="s">
        <v>8566</v>
      </c>
      <c r="F14" s="338"/>
      <c r="G14" s="338">
        <v>0.75</v>
      </c>
      <c r="H14" s="338" t="s">
        <v>425</v>
      </c>
      <c r="I14" s="338" t="s">
        <v>411</v>
      </c>
      <c r="J14" s="339"/>
      <c r="K14" s="339"/>
      <c r="L14" s="339" t="s">
        <v>409</v>
      </c>
      <c r="M14" s="339" t="s">
        <v>409</v>
      </c>
      <c r="N14" s="338" t="s">
        <v>432</v>
      </c>
      <c r="O14" s="338" t="s">
        <v>409</v>
      </c>
      <c r="P14" s="338"/>
    </row>
    <row r="15" spans="2:16" x14ac:dyDescent="0.25">
      <c r="B15" s="336" t="s">
        <v>416</v>
      </c>
      <c r="C15" s="337">
        <v>41718</v>
      </c>
      <c r="D15" s="338" t="s">
        <v>8565</v>
      </c>
      <c r="E15" s="338" t="s">
        <v>8564</v>
      </c>
      <c r="F15" s="338" t="s">
        <v>8563</v>
      </c>
      <c r="G15" s="338" t="s">
        <v>413</v>
      </c>
      <c r="H15" s="338" t="s">
        <v>425</v>
      </c>
      <c r="I15" s="338" t="s">
        <v>1243</v>
      </c>
      <c r="J15" s="339"/>
      <c r="K15" s="339"/>
      <c r="L15" s="339">
        <v>1.8683000000000001</v>
      </c>
      <c r="M15" s="339">
        <v>13.9063</v>
      </c>
      <c r="N15" s="338"/>
      <c r="O15" s="338" t="s">
        <v>408</v>
      </c>
      <c r="P15" s="338" t="s">
        <v>487</v>
      </c>
    </row>
    <row r="16" spans="2:16" x14ac:dyDescent="0.25">
      <c r="B16" s="336" t="s">
        <v>416</v>
      </c>
      <c r="C16" s="337">
        <v>41717</v>
      </c>
      <c r="D16" s="338" t="s">
        <v>8562</v>
      </c>
      <c r="E16" s="338" t="s">
        <v>4852</v>
      </c>
      <c r="F16" s="338"/>
      <c r="G16" s="338" t="s">
        <v>413</v>
      </c>
      <c r="H16" s="338" t="s">
        <v>412</v>
      </c>
      <c r="I16" s="338" t="s">
        <v>1243</v>
      </c>
      <c r="J16" s="339"/>
      <c r="K16" s="339"/>
      <c r="L16" s="339" t="s">
        <v>409</v>
      </c>
      <c r="M16" s="339" t="s">
        <v>409</v>
      </c>
      <c r="N16" s="338" t="s">
        <v>432</v>
      </c>
      <c r="O16" s="338" t="s">
        <v>409</v>
      </c>
      <c r="P16" s="338" t="s">
        <v>417</v>
      </c>
    </row>
    <row r="17" spans="2:16" x14ac:dyDescent="0.25">
      <c r="B17" s="336" t="s">
        <v>416</v>
      </c>
      <c r="C17" s="337">
        <v>41717</v>
      </c>
      <c r="D17" s="338" t="s">
        <v>8561</v>
      </c>
      <c r="E17" s="338" t="s">
        <v>631</v>
      </c>
      <c r="F17" s="338"/>
      <c r="G17" s="338" t="s">
        <v>413</v>
      </c>
      <c r="H17" s="338" t="s">
        <v>412</v>
      </c>
      <c r="I17" s="338" t="s">
        <v>411</v>
      </c>
      <c r="J17" s="339"/>
      <c r="K17" s="339"/>
      <c r="L17" s="339" t="s">
        <v>409</v>
      </c>
      <c r="M17" s="339" t="s">
        <v>409</v>
      </c>
      <c r="N17" s="338" t="s">
        <v>443</v>
      </c>
      <c r="O17" s="338" t="s">
        <v>409</v>
      </c>
      <c r="P17" s="338" t="s">
        <v>417</v>
      </c>
    </row>
    <row r="18" spans="2:16" x14ac:dyDescent="0.25">
      <c r="B18" s="336" t="s">
        <v>416</v>
      </c>
      <c r="C18" s="337">
        <v>41716</v>
      </c>
      <c r="D18" s="338" t="s">
        <v>2530</v>
      </c>
      <c r="E18" s="338" t="s">
        <v>8560</v>
      </c>
      <c r="F18" s="338"/>
      <c r="G18" s="338">
        <v>2.77</v>
      </c>
      <c r="H18" s="338" t="s">
        <v>425</v>
      </c>
      <c r="I18" s="338" t="s">
        <v>1243</v>
      </c>
      <c r="J18" s="339">
        <v>0.17191500000000001</v>
      </c>
      <c r="K18" s="339">
        <v>5.3606999999999996</v>
      </c>
      <c r="L18" s="339" t="s">
        <v>409</v>
      </c>
      <c r="M18" s="339" t="s">
        <v>409</v>
      </c>
      <c r="N18" s="338" t="s">
        <v>417</v>
      </c>
      <c r="O18" s="338" t="s">
        <v>409</v>
      </c>
      <c r="P18" s="338" t="s">
        <v>487</v>
      </c>
    </row>
    <row r="19" spans="2:16" x14ac:dyDescent="0.25">
      <c r="B19" s="336" t="s">
        <v>541</v>
      </c>
      <c r="C19" s="337">
        <v>41715</v>
      </c>
      <c r="D19" s="338" t="s">
        <v>8559</v>
      </c>
      <c r="E19" s="338" t="s">
        <v>539</v>
      </c>
      <c r="F19" s="338" t="s">
        <v>1386</v>
      </c>
      <c r="G19" s="338" t="s">
        <v>413</v>
      </c>
      <c r="H19" s="338"/>
      <c r="I19" s="338" t="s">
        <v>1243</v>
      </c>
      <c r="J19" s="339"/>
      <c r="K19" s="339"/>
      <c r="L19" s="339">
        <v>0.55317400000000005</v>
      </c>
      <c r="M19" s="339">
        <v>14.858700000000001</v>
      </c>
      <c r="N19" s="338" t="s">
        <v>612</v>
      </c>
      <c r="O19" s="338" t="s">
        <v>417</v>
      </c>
      <c r="P19" s="338" t="s">
        <v>409</v>
      </c>
    </row>
    <row r="20" spans="2:16" x14ac:dyDescent="0.25">
      <c r="B20" s="336" t="s">
        <v>416</v>
      </c>
      <c r="C20" s="337">
        <v>41715</v>
      </c>
      <c r="D20" s="338" t="s">
        <v>8558</v>
      </c>
      <c r="E20" s="338" t="s">
        <v>8557</v>
      </c>
      <c r="F20" s="338"/>
      <c r="G20" s="338">
        <v>73.37</v>
      </c>
      <c r="H20" s="338" t="s">
        <v>425</v>
      </c>
      <c r="I20" s="338" t="s">
        <v>1243</v>
      </c>
      <c r="J20" s="339">
        <v>0.15651200000000001</v>
      </c>
      <c r="K20" s="339">
        <v>9.4262099999999993</v>
      </c>
      <c r="L20" s="339" t="s">
        <v>409</v>
      </c>
      <c r="M20" s="339" t="s">
        <v>409</v>
      </c>
      <c r="N20" s="338" t="s">
        <v>417</v>
      </c>
      <c r="O20" s="338" t="s">
        <v>409</v>
      </c>
      <c r="P20" s="338" t="s">
        <v>410</v>
      </c>
    </row>
    <row r="21" spans="2:16" x14ac:dyDescent="0.25">
      <c r="B21" s="336" t="s">
        <v>416</v>
      </c>
      <c r="C21" s="337">
        <v>41715</v>
      </c>
      <c r="D21" s="338" t="s">
        <v>8556</v>
      </c>
      <c r="E21" s="338" t="s">
        <v>8555</v>
      </c>
      <c r="F21" s="338" t="s">
        <v>1935</v>
      </c>
      <c r="G21" s="338" t="s">
        <v>413</v>
      </c>
      <c r="H21" s="338" t="s">
        <v>412</v>
      </c>
      <c r="I21" s="338" t="s">
        <v>411</v>
      </c>
      <c r="J21" s="339"/>
      <c r="K21" s="339"/>
      <c r="L21" s="339"/>
      <c r="M21" s="339"/>
      <c r="N21" s="338" t="s">
        <v>417</v>
      </c>
      <c r="O21" s="338" t="s">
        <v>443</v>
      </c>
      <c r="P21" s="338" t="s">
        <v>410</v>
      </c>
    </row>
    <row r="22" spans="2:16" x14ac:dyDescent="0.25">
      <c r="B22" s="336" t="s">
        <v>416</v>
      </c>
      <c r="C22" s="337">
        <v>41715</v>
      </c>
      <c r="D22" s="338" t="s">
        <v>4219</v>
      </c>
      <c r="E22" s="338" t="s">
        <v>8554</v>
      </c>
      <c r="F22" s="338" t="s">
        <v>4218</v>
      </c>
      <c r="G22" s="338" t="s">
        <v>413</v>
      </c>
      <c r="H22" s="338" t="s">
        <v>412</v>
      </c>
      <c r="I22" s="338" t="s">
        <v>411</v>
      </c>
      <c r="J22" s="339"/>
      <c r="K22" s="339"/>
      <c r="L22" s="339"/>
      <c r="M22" s="339"/>
      <c r="N22" s="338" t="s">
        <v>417</v>
      </c>
      <c r="O22" s="338" t="s">
        <v>443</v>
      </c>
      <c r="P22" s="338" t="s">
        <v>443</v>
      </c>
    </row>
    <row r="23" spans="2:16" x14ac:dyDescent="0.25">
      <c r="B23" s="336" t="s">
        <v>416</v>
      </c>
      <c r="C23" s="337">
        <v>41715</v>
      </c>
      <c r="D23" s="338" t="s">
        <v>8553</v>
      </c>
      <c r="E23" s="338" t="s">
        <v>8552</v>
      </c>
      <c r="F23" s="338" t="s">
        <v>8551</v>
      </c>
      <c r="G23" s="338">
        <v>135</v>
      </c>
      <c r="H23" s="338" t="s">
        <v>425</v>
      </c>
      <c r="I23" s="338" t="s">
        <v>1243</v>
      </c>
      <c r="J23" s="339"/>
      <c r="K23" s="339"/>
      <c r="L23" s="339"/>
      <c r="M23" s="339"/>
      <c r="N23" s="338" t="s">
        <v>410</v>
      </c>
      <c r="O23" s="338" t="s">
        <v>443</v>
      </c>
      <c r="P23" s="338" t="s">
        <v>410</v>
      </c>
    </row>
    <row r="24" spans="2:16" x14ac:dyDescent="0.25">
      <c r="B24" s="336" t="s">
        <v>416</v>
      </c>
      <c r="C24" s="337">
        <v>41711</v>
      </c>
      <c r="D24" s="338" t="s">
        <v>1776</v>
      </c>
      <c r="E24" s="338" t="s">
        <v>1708</v>
      </c>
      <c r="F24" s="338" t="s">
        <v>5436</v>
      </c>
      <c r="G24" s="338">
        <v>1000</v>
      </c>
      <c r="H24" s="338" t="s">
        <v>425</v>
      </c>
      <c r="I24" s="338" t="s">
        <v>8150</v>
      </c>
      <c r="J24" s="339"/>
      <c r="K24" s="339"/>
      <c r="L24" s="339"/>
      <c r="M24" s="339"/>
      <c r="N24" s="338" t="s">
        <v>417</v>
      </c>
      <c r="O24" s="338" t="s">
        <v>443</v>
      </c>
      <c r="P24" s="338" t="s">
        <v>443</v>
      </c>
    </row>
    <row r="25" spans="2:16" x14ac:dyDescent="0.25">
      <c r="B25" s="336" t="s">
        <v>416</v>
      </c>
      <c r="C25" s="337">
        <v>41711</v>
      </c>
      <c r="D25" s="338" t="s">
        <v>8550</v>
      </c>
      <c r="E25" s="338" t="s">
        <v>8549</v>
      </c>
      <c r="F25" s="338"/>
      <c r="G25" s="338" t="s">
        <v>413</v>
      </c>
      <c r="H25" s="338" t="s">
        <v>412</v>
      </c>
      <c r="I25" s="338" t="s">
        <v>411</v>
      </c>
      <c r="J25" s="339"/>
      <c r="K25" s="339"/>
      <c r="L25" s="339" t="s">
        <v>409</v>
      </c>
      <c r="M25" s="339" t="s">
        <v>409</v>
      </c>
      <c r="N25" s="338" t="s">
        <v>432</v>
      </c>
      <c r="O25" s="338" t="s">
        <v>409</v>
      </c>
      <c r="P25" s="338" t="s">
        <v>417</v>
      </c>
    </row>
    <row r="26" spans="2:16" x14ac:dyDescent="0.25">
      <c r="B26" s="336" t="s">
        <v>459</v>
      </c>
      <c r="C26" s="337">
        <v>41711</v>
      </c>
      <c r="D26" s="338" t="s">
        <v>7449</v>
      </c>
      <c r="E26" s="338" t="s">
        <v>6628</v>
      </c>
      <c r="F26" s="338"/>
      <c r="G26" s="338">
        <v>150</v>
      </c>
      <c r="H26" s="338" t="s">
        <v>507</v>
      </c>
      <c r="I26" s="338" t="s">
        <v>1243</v>
      </c>
      <c r="J26" s="339">
        <v>0.21373900000000001</v>
      </c>
      <c r="K26" s="339"/>
      <c r="L26" s="339" t="s">
        <v>409</v>
      </c>
      <c r="M26" s="339" t="s">
        <v>409</v>
      </c>
      <c r="N26" s="338" t="s">
        <v>417</v>
      </c>
      <c r="O26" s="338" t="s">
        <v>409</v>
      </c>
      <c r="P26" s="338" t="s">
        <v>443</v>
      </c>
    </row>
    <row r="27" spans="2:16" x14ac:dyDescent="0.25">
      <c r="B27" s="336" t="s">
        <v>416</v>
      </c>
      <c r="C27" s="337">
        <v>41711</v>
      </c>
      <c r="D27" s="338" t="s">
        <v>8548</v>
      </c>
      <c r="E27" s="338" t="s">
        <v>7908</v>
      </c>
      <c r="F27" s="338"/>
      <c r="G27" s="338" t="s">
        <v>413</v>
      </c>
      <c r="H27" s="338" t="s">
        <v>412</v>
      </c>
      <c r="I27" s="338" t="s">
        <v>1243</v>
      </c>
      <c r="J27" s="339"/>
      <c r="K27" s="339"/>
      <c r="L27" s="339" t="s">
        <v>409</v>
      </c>
      <c r="M27" s="339" t="s">
        <v>409</v>
      </c>
      <c r="N27" s="338" t="s">
        <v>417</v>
      </c>
      <c r="O27" s="338" t="s">
        <v>409</v>
      </c>
      <c r="P27" s="338" t="s">
        <v>417</v>
      </c>
    </row>
    <row r="28" spans="2:16" x14ac:dyDescent="0.25">
      <c r="B28" s="336" t="s">
        <v>416</v>
      </c>
      <c r="C28" s="337">
        <v>41711</v>
      </c>
      <c r="D28" s="338" t="s">
        <v>8547</v>
      </c>
      <c r="E28" s="338" t="s">
        <v>905</v>
      </c>
      <c r="F28" s="338"/>
      <c r="G28" s="338" t="s">
        <v>413</v>
      </c>
      <c r="H28" s="338" t="s">
        <v>425</v>
      </c>
      <c r="I28" s="338" t="s">
        <v>411</v>
      </c>
      <c r="J28" s="339"/>
      <c r="K28" s="339"/>
      <c r="L28" s="339" t="s">
        <v>409</v>
      </c>
      <c r="M28" s="339" t="s">
        <v>409</v>
      </c>
      <c r="N28" s="338"/>
      <c r="O28" s="338" t="s">
        <v>409</v>
      </c>
      <c r="P28" s="338" t="s">
        <v>417</v>
      </c>
    </row>
    <row r="29" spans="2:16" x14ac:dyDescent="0.25">
      <c r="B29" s="336" t="s">
        <v>416</v>
      </c>
      <c r="C29" s="337">
        <v>41710</v>
      </c>
      <c r="D29" s="338" t="s">
        <v>8546</v>
      </c>
      <c r="E29" s="338" t="s">
        <v>8545</v>
      </c>
      <c r="F29" s="338" t="s">
        <v>8544</v>
      </c>
      <c r="G29" s="338" t="s">
        <v>413</v>
      </c>
      <c r="H29" s="338" t="s">
        <v>425</v>
      </c>
      <c r="I29" s="338" t="s">
        <v>411</v>
      </c>
      <c r="J29" s="339"/>
      <c r="K29" s="339"/>
      <c r="L29" s="339"/>
      <c r="M29" s="339"/>
      <c r="N29" s="338"/>
      <c r="O29" s="338" t="s">
        <v>410</v>
      </c>
      <c r="P29" s="338" t="s">
        <v>417</v>
      </c>
    </row>
    <row r="30" spans="2:16" x14ac:dyDescent="0.25">
      <c r="B30" s="336" t="s">
        <v>416</v>
      </c>
      <c r="C30" s="337">
        <v>41710</v>
      </c>
      <c r="D30" s="338" t="s">
        <v>8543</v>
      </c>
      <c r="E30" s="338" t="s">
        <v>8542</v>
      </c>
      <c r="F30" s="338"/>
      <c r="G30" s="338" t="s">
        <v>413</v>
      </c>
      <c r="H30" s="338" t="s">
        <v>412</v>
      </c>
      <c r="I30" s="338" t="s">
        <v>411</v>
      </c>
      <c r="J30" s="339"/>
      <c r="K30" s="339"/>
      <c r="L30" s="339" t="s">
        <v>409</v>
      </c>
      <c r="M30" s="339" t="s">
        <v>409</v>
      </c>
      <c r="N30" s="338" t="s">
        <v>443</v>
      </c>
      <c r="O30" s="338" t="s">
        <v>409</v>
      </c>
      <c r="P30" s="338" t="s">
        <v>417</v>
      </c>
    </row>
    <row r="31" spans="2:16" x14ac:dyDescent="0.25">
      <c r="B31" s="336" t="s">
        <v>459</v>
      </c>
      <c r="C31" s="337">
        <v>41710</v>
      </c>
      <c r="D31" s="338" t="s">
        <v>8541</v>
      </c>
      <c r="E31" s="338" t="s">
        <v>8540</v>
      </c>
      <c r="F31" s="338"/>
      <c r="G31" s="338">
        <v>12</v>
      </c>
      <c r="H31" s="338" t="s">
        <v>425</v>
      </c>
      <c r="I31" s="338" t="s">
        <v>411</v>
      </c>
      <c r="J31" s="339"/>
      <c r="K31" s="339"/>
      <c r="L31" s="339" t="s">
        <v>409</v>
      </c>
      <c r="M31" s="339" t="s">
        <v>409</v>
      </c>
      <c r="N31" s="338" t="s">
        <v>432</v>
      </c>
      <c r="O31" s="338" t="s">
        <v>409</v>
      </c>
      <c r="P31" s="338"/>
    </row>
    <row r="32" spans="2:16" x14ac:dyDescent="0.25">
      <c r="B32" s="336" t="s">
        <v>541</v>
      </c>
      <c r="C32" s="337">
        <v>41710</v>
      </c>
      <c r="D32" s="338" t="s">
        <v>8539</v>
      </c>
      <c r="E32" s="338" t="s">
        <v>539</v>
      </c>
      <c r="F32" s="338" t="s">
        <v>7356</v>
      </c>
      <c r="G32" s="338">
        <v>0.16</v>
      </c>
      <c r="H32" s="338"/>
      <c r="I32" s="338" t="s">
        <v>1243</v>
      </c>
      <c r="J32" s="339"/>
      <c r="K32" s="339"/>
      <c r="L32" s="339"/>
      <c r="M32" s="339"/>
      <c r="N32" s="338" t="s">
        <v>417</v>
      </c>
      <c r="O32" s="338" t="s">
        <v>410</v>
      </c>
      <c r="P32" s="338" t="s">
        <v>409</v>
      </c>
    </row>
    <row r="33" spans="2:16" x14ac:dyDescent="0.25">
      <c r="B33" s="336" t="s">
        <v>416</v>
      </c>
      <c r="C33" s="337">
        <v>41709</v>
      </c>
      <c r="D33" s="338" t="s">
        <v>8538</v>
      </c>
      <c r="E33" s="338" t="s">
        <v>4600</v>
      </c>
      <c r="F33" s="338"/>
      <c r="G33" s="338" t="s">
        <v>413</v>
      </c>
      <c r="H33" s="338" t="s">
        <v>336</v>
      </c>
      <c r="I33" s="338" t="s">
        <v>411</v>
      </c>
      <c r="J33" s="339"/>
      <c r="K33" s="339"/>
      <c r="L33" s="339" t="s">
        <v>409</v>
      </c>
      <c r="M33" s="339" t="s">
        <v>409</v>
      </c>
      <c r="N33" s="338" t="s">
        <v>410</v>
      </c>
      <c r="O33" s="338" t="s">
        <v>409</v>
      </c>
      <c r="P33" s="338" t="s">
        <v>417</v>
      </c>
    </row>
    <row r="34" spans="2:16" x14ac:dyDescent="0.25">
      <c r="B34" s="336" t="s">
        <v>459</v>
      </c>
      <c r="C34" s="337">
        <v>41708</v>
      </c>
      <c r="D34" s="338" t="s">
        <v>8537</v>
      </c>
      <c r="E34" s="338" t="s">
        <v>8536</v>
      </c>
      <c r="F34" s="338"/>
      <c r="G34" s="338">
        <v>18</v>
      </c>
      <c r="H34" s="338" t="s">
        <v>425</v>
      </c>
      <c r="I34" s="338" t="s">
        <v>411</v>
      </c>
      <c r="J34" s="339"/>
      <c r="K34" s="339"/>
      <c r="L34" s="339" t="s">
        <v>409</v>
      </c>
      <c r="M34" s="339" t="s">
        <v>409</v>
      </c>
      <c r="N34" s="338" t="s">
        <v>432</v>
      </c>
      <c r="O34" s="338" t="s">
        <v>409</v>
      </c>
      <c r="P34" s="338"/>
    </row>
    <row r="35" spans="2:16" x14ac:dyDescent="0.25">
      <c r="B35" s="336" t="s">
        <v>416</v>
      </c>
      <c r="C35" s="337">
        <v>41708</v>
      </c>
      <c r="D35" s="338" t="s">
        <v>8535</v>
      </c>
      <c r="E35" s="338" t="s">
        <v>5980</v>
      </c>
      <c r="F35" s="338" t="s">
        <v>1657</v>
      </c>
      <c r="G35" s="338" t="s">
        <v>413</v>
      </c>
      <c r="H35" s="338" t="s">
        <v>425</v>
      </c>
      <c r="I35" s="338" t="s">
        <v>1243</v>
      </c>
      <c r="J35" s="339"/>
      <c r="K35" s="339"/>
      <c r="L35" s="339">
        <v>3.4981300000000002</v>
      </c>
      <c r="M35" s="339">
        <v>10.817399999999999</v>
      </c>
      <c r="N35" s="338"/>
      <c r="O35" s="338" t="s">
        <v>410</v>
      </c>
      <c r="P35" s="338" t="s">
        <v>410</v>
      </c>
    </row>
    <row r="36" spans="2:16" x14ac:dyDescent="0.25">
      <c r="B36" s="336" t="s">
        <v>416</v>
      </c>
      <c r="C36" s="337">
        <v>41708</v>
      </c>
      <c r="D36" s="338" t="s">
        <v>8534</v>
      </c>
      <c r="E36" s="338" t="s">
        <v>6961</v>
      </c>
      <c r="F36" s="338"/>
      <c r="G36" s="338" t="s">
        <v>413</v>
      </c>
      <c r="H36" s="338" t="s">
        <v>412</v>
      </c>
      <c r="I36" s="338" t="s">
        <v>1243</v>
      </c>
      <c r="J36" s="339"/>
      <c r="K36" s="339"/>
      <c r="L36" s="339" t="s">
        <v>409</v>
      </c>
      <c r="M36" s="339" t="s">
        <v>409</v>
      </c>
      <c r="N36" s="338" t="s">
        <v>417</v>
      </c>
      <c r="O36" s="338" t="s">
        <v>409</v>
      </c>
      <c r="P36" s="338" t="s">
        <v>417</v>
      </c>
    </row>
    <row r="37" spans="2:16" x14ac:dyDescent="0.25">
      <c r="B37" s="336" t="s">
        <v>416</v>
      </c>
      <c r="C37" s="337">
        <v>41708</v>
      </c>
      <c r="D37" s="338" t="s">
        <v>8533</v>
      </c>
      <c r="E37" s="338" t="s">
        <v>3911</v>
      </c>
      <c r="F37" s="338"/>
      <c r="G37" s="338">
        <v>9.1</v>
      </c>
      <c r="H37" s="338" t="s">
        <v>425</v>
      </c>
      <c r="I37" s="338" t="s">
        <v>1243</v>
      </c>
      <c r="J37" s="339"/>
      <c r="K37" s="339"/>
      <c r="L37" s="339" t="s">
        <v>409</v>
      </c>
      <c r="M37" s="339" t="s">
        <v>409</v>
      </c>
      <c r="N37" s="338" t="s">
        <v>417</v>
      </c>
      <c r="O37" s="338" t="s">
        <v>409</v>
      </c>
      <c r="P37" s="338" t="s">
        <v>417</v>
      </c>
    </row>
    <row r="38" spans="2:16" x14ac:dyDescent="0.25">
      <c r="B38" s="336" t="s">
        <v>416</v>
      </c>
      <c r="C38" s="337">
        <v>41708</v>
      </c>
      <c r="D38" s="338" t="s">
        <v>8532</v>
      </c>
      <c r="E38" s="338" t="s">
        <v>8531</v>
      </c>
      <c r="F38" s="338"/>
      <c r="G38" s="338">
        <v>3.8</v>
      </c>
      <c r="H38" s="338" t="s">
        <v>425</v>
      </c>
      <c r="I38" s="338" t="s">
        <v>411</v>
      </c>
      <c r="J38" s="339"/>
      <c r="K38" s="339"/>
      <c r="L38" s="339" t="s">
        <v>409</v>
      </c>
      <c r="M38" s="339" t="s">
        <v>409</v>
      </c>
      <c r="N38" s="338" t="s">
        <v>417</v>
      </c>
      <c r="O38" s="338" t="s">
        <v>409</v>
      </c>
      <c r="P38" s="338" t="s">
        <v>443</v>
      </c>
    </row>
    <row r="39" spans="2:16" x14ac:dyDescent="0.25">
      <c r="B39" s="336" t="s">
        <v>416</v>
      </c>
      <c r="C39" s="337">
        <v>41708</v>
      </c>
      <c r="D39" s="338" t="s">
        <v>8530</v>
      </c>
      <c r="E39" s="338" t="s">
        <v>3891</v>
      </c>
      <c r="F39" s="338" t="s">
        <v>2987</v>
      </c>
      <c r="G39" s="338">
        <v>3.6</v>
      </c>
      <c r="H39" s="338" t="s">
        <v>425</v>
      </c>
      <c r="I39" s="338" t="s">
        <v>411</v>
      </c>
      <c r="J39" s="339"/>
      <c r="K39" s="339"/>
      <c r="L39" s="339"/>
      <c r="M39" s="339"/>
      <c r="N39" s="338"/>
      <c r="O39" s="338" t="s">
        <v>417</v>
      </c>
      <c r="P39" s="338"/>
    </row>
    <row r="40" spans="2:16" x14ac:dyDescent="0.25">
      <c r="B40" s="336" t="s">
        <v>416</v>
      </c>
      <c r="C40" s="337">
        <v>41705</v>
      </c>
      <c r="D40" s="338" t="s">
        <v>8529</v>
      </c>
      <c r="E40" s="338" t="s">
        <v>598</v>
      </c>
      <c r="F40" s="338"/>
      <c r="G40" s="338" t="s">
        <v>413</v>
      </c>
      <c r="H40" s="338" t="s">
        <v>425</v>
      </c>
      <c r="I40" s="338" t="s">
        <v>411</v>
      </c>
      <c r="J40" s="339"/>
      <c r="K40" s="339"/>
      <c r="L40" s="339" t="s">
        <v>409</v>
      </c>
      <c r="M40" s="339" t="s">
        <v>409</v>
      </c>
      <c r="N40" s="338"/>
      <c r="O40" s="338" t="s">
        <v>409</v>
      </c>
      <c r="P40" s="338" t="s">
        <v>417</v>
      </c>
    </row>
    <row r="41" spans="2:16" x14ac:dyDescent="0.25">
      <c r="B41" s="336" t="s">
        <v>459</v>
      </c>
      <c r="C41" s="337">
        <v>41704</v>
      </c>
      <c r="D41" s="338" t="s">
        <v>8528</v>
      </c>
      <c r="E41" s="338" t="s">
        <v>8527</v>
      </c>
      <c r="F41" s="338"/>
      <c r="G41" s="338">
        <v>150</v>
      </c>
      <c r="H41" s="338" t="s">
        <v>412</v>
      </c>
      <c r="I41" s="338" t="s">
        <v>1243</v>
      </c>
      <c r="J41" s="339"/>
      <c r="K41" s="339"/>
      <c r="L41" s="339" t="s">
        <v>409</v>
      </c>
      <c r="M41" s="339" t="s">
        <v>409</v>
      </c>
      <c r="N41" s="338" t="s">
        <v>417</v>
      </c>
      <c r="O41" s="338" t="s">
        <v>409</v>
      </c>
      <c r="P41" s="338" t="s">
        <v>417</v>
      </c>
    </row>
    <row r="42" spans="2:16" x14ac:dyDescent="0.25">
      <c r="B42" s="336" t="s">
        <v>416</v>
      </c>
      <c r="C42" s="337">
        <v>41703</v>
      </c>
      <c r="D42" s="338" t="s">
        <v>7862</v>
      </c>
      <c r="E42" s="338" t="s">
        <v>677</v>
      </c>
      <c r="F42" s="338" t="s">
        <v>712</v>
      </c>
      <c r="G42" s="338" t="s">
        <v>413</v>
      </c>
      <c r="H42" s="338" t="s">
        <v>425</v>
      </c>
      <c r="I42" s="338" t="s">
        <v>8150</v>
      </c>
      <c r="J42" s="339"/>
      <c r="K42" s="339"/>
      <c r="L42" s="339"/>
      <c r="M42" s="339"/>
      <c r="N42" s="338" t="s">
        <v>417</v>
      </c>
      <c r="O42" s="338" t="s">
        <v>443</v>
      </c>
      <c r="P42" s="338" t="s">
        <v>443</v>
      </c>
    </row>
    <row r="43" spans="2:16" x14ac:dyDescent="0.25">
      <c r="B43" s="336" t="s">
        <v>416</v>
      </c>
      <c r="C43" s="337">
        <v>41702</v>
      </c>
      <c r="D43" s="338" t="s">
        <v>8526</v>
      </c>
      <c r="E43" s="338" t="s">
        <v>7342</v>
      </c>
      <c r="F43" s="338"/>
      <c r="G43" s="338" t="s">
        <v>413</v>
      </c>
      <c r="H43" s="338" t="s">
        <v>412</v>
      </c>
      <c r="I43" s="338" t="s">
        <v>411</v>
      </c>
      <c r="J43" s="339"/>
      <c r="K43" s="339"/>
      <c r="L43" s="339" t="s">
        <v>409</v>
      </c>
      <c r="M43" s="339" t="s">
        <v>409</v>
      </c>
      <c r="N43" s="338" t="s">
        <v>417</v>
      </c>
      <c r="O43" s="338" t="s">
        <v>409</v>
      </c>
      <c r="P43" s="338" t="s">
        <v>417</v>
      </c>
    </row>
    <row r="44" spans="2:16" x14ac:dyDescent="0.25">
      <c r="B44" s="336" t="s">
        <v>416</v>
      </c>
      <c r="C44" s="337">
        <v>41702</v>
      </c>
      <c r="D44" s="338" t="s">
        <v>8525</v>
      </c>
      <c r="E44" s="338" t="s">
        <v>5184</v>
      </c>
      <c r="F44" s="338"/>
      <c r="G44" s="338" t="s">
        <v>413</v>
      </c>
      <c r="H44" s="338" t="s">
        <v>412</v>
      </c>
      <c r="I44" s="338" t="s">
        <v>411</v>
      </c>
      <c r="J44" s="339"/>
      <c r="K44" s="339"/>
      <c r="L44" s="339" t="s">
        <v>409</v>
      </c>
      <c r="M44" s="339" t="s">
        <v>409</v>
      </c>
      <c r="N44" s="338" t="s">
        <v>487</v>
      </c>
      <c r="O44" s="338" t="s">
        <v>409</v>
      </c>
      <c r="P44" s="338" t="s">
        <v>417</v>
      </c>
    </row>
    <row r="45" spans="2:16" x14ac:dyDescent="0.25">
      <c r="B45" s="336" t="s">
        <v>416</v>
      </c>
      <c r="C45" s="337">
        <v>41701</v>
      </c>
      <c r="D45" s="338" t="s">
        <v>8524</v>
      </c>
      <c r="E45" s="338" t="s">
        <v>6961</v>
      </c>
      <c r="F45" s="338"/>
      <c r="G45" s="338" t="s">
        <v>413</v>
      </c>
      <c r="H45" s="338" t="s">
        <v>412</v>
      </c>
      <c r="I45" s="338" t="s">
        <v>411</v>
      </c>
      <c r="J45" s="339"/>
      <c r="K45" s="339"/>
      <c r="L45" s="339" t="s">
        <v>409</v>
      </c>
      <c r="M45" s="339" t="s">
        <v>409</v>
      </c>
      <c r="N45" s="338"/>
      <c r="O45" s="338" t="s">
        <v>409</v>
      </c>
      <c r="P45" s="338" t="s">
        <v>417</v>
      </c>
    </row>
    <row r="46" spans="2:16" x14ac:dyDescent="0.25">
      <c r="B46" s="336" t="s">
        <v>416</v>
      </c>
      <c r="C46" s="337">
        <v>41701</v>
      </c>
      <c r="D46" s="338" t="s">
        <v>8523</v>
      </c>
      <c r="E46" s="338" t="s">
        <v>8522</v>
      </c>
      <c r="F46" s="338" t="s">
        <v>8521</v>
      </c>
      <c r="G46" s="338" t="s">
        <v>413</v>
      </c>
      <c r="H46" s="338" t="s">
        <v>425</v>
      </c>
      <c r="I46" s="338" t="s">
        <v>411</v>
      </c>
      <c r="J46" s="339"/>
      <c r="K46" s="339"/>
      <c r="L46" s="339"/>
      <c r="M46" s="339"/>
      <c r="N46" s="338"/>
      <c r="O46" s="338" t="s">
        <v>885</v>
      </c>
      <c r="P46" s="338" t="s">
        <v>417</v>
      </c>
    </row>
    <row r="47" spans="2:16" x14ac:dyDescent="0.25">
      <c r="B47" s="336" t="s">
        <v>416</v>
      </c>
      <c r="C47" s="337">
        <v>41701</v>
      </c>
      <c r="D47" s="338" t="s">
        <v>8520</v>
      </c>
      <c r="E47" s="338" t="s">
        <v>8519</v>
      </c>
      <c r="F47" s="338"/>
      <c r="G47" s="338" t="s">
        <v>413</v>
      </c>
      <c r="H47" s="338" t="s">
        <v>412</v>
      </c>
      <c r="I47" s="338" t="s">
        <v>411</v>
      </c>
      <c r="J47" s="339"/>
      <c r="K47" s="339"/>
      <c r="L47" s="339" t="s">
        <v>409</v>
      </c>
      <c r="M47" s="339" t="s">
        <v>409</v>
      </c>
      <c r="N47" s="338"/>
      <c r="O47" s="338" t="s">
        <v>409</v>
      </c>
      <c r="P47" s="338" t="s">
        <v>417</v>
      </c>
    </row>
    <row r="48" spans="2:16" x14ac:dyDescent="0.25">
      <c r="B48" s="336" t="s">
        <v>416</v>
      </c>
      <c r="C48" s="337">
        <v>41698</v>
      </c>
      <c r="D48" s="338" t="s">
        <v>8518</v>
      </c>
      <c r="E48" s="338" t="s">
        <v>8153</v>
      </c>
      <c r="F48" s="338"/>
      <c r="G48" s="338" t="s">
        <v>413</v>
      </c>
      <c r="H48" s="338" t="s">
        <v>412</v>
      </c>
      <c r="I48" s="338" t="s">
        <v>8150</v>
      </c>
      <c r="J48" s="339">
        <v>0.292381</v>
      </c>
      <c r="K48" s="339">
        <v>6.8503600000000002</v>
      </c>
      <c r="L48" s="339" t="s">
        <v>409</v>
      </c>
      <c r="M48" s="339" t="s">
        <v>409</v>
      </c>
      <c r="N48" s="338" t="s">
        <v>417</v>
      </c>
      <c r="O48" s="338" t="s">
        <v>409</v>
      </c>
      <c r="P48" s="338"/>
    </row>
    <row r="49" spans="2:16" x14ac:dyDescent="0.25">
      <c r="B49" s="336" t="s">
        <v>416</v>
      </c>
      <c r="C49" s="337">
        <v>41697</v>
      </c>
      <c r="D49" s="338" t="s">
        <v>8517</v>
      </c>
      <c r="E49" s="338" t="s">
        <v>8516</v>
      </c>
      <c r="F49" s="338"/>
      <c r="G49" s="338" t="s">
        <v>413</v>
      </c>
      <c r="H49" s="338" t="s">
        <v>412</v>
      </c>
      <c r="I49" s="338" t="s">
        <v>411</v>
      </c>
      <c r="J49" s="339"/>
      <c r="K49" s="339"/>
      <c r="L49" s="339" t="s">
        <v>409</v>
      </c>
      <c r="M49" s="339" t="s">
        <v>409</v>
      </c>
      <c r="N49" s="338" t="s">
        <v>417</v>
      </c>
      <c r="O49" s="338" t="s">
        <v>409</v>
      </c>
      <c r="P49" s="338" t="s">
        <v>432</v>
      </c>
    </row>
    <row r="50" spans="2:16" x14ac:dyDescent="0.25">
      <c r="B50" s="336" t="s">
        <v>416</v>
      </c>
      <c r="C50" s="337">
        <v>41696</v>
      </c>
      <c r="D50" s="338" t="s">
        <v>8515</v>
      </c>
      <c r="E50" s="338" t="s">
        <v>5440</v>
      </c>
      <c r="F50" s="338"/>
      <c r="G50" s="338" t="s">
        <v>413</v>
      </c>
      <c r="H50" s="338" t="s">
        <v>412</v>
      </c>
      <c r="I50" s="338" t="s">
        <v>411</v>
      </c>
      <c r="J50" s="339"/>
      <c r="K50" s="339"/>
      <c r="L50" s="339" t="s">
        <v>409</v>
      </c>
      <c r="M50" s="339" t="s">
        <v>409</v>
      </c>
      <c r="N50" s="338" t="s">
        <v>432</v>
      </c>
      <c r="O50" s="338" t="s">
        <v>409</v>
      </c>
      <c r="P50" s="338" t="s">
        <v>417</v>
      </c>
    </row>
    <row r="51" spans="2:16" x14ac:dyDescent="0.25">
      <c r="B51" s="336" t="s">
        <v>1441</v>
      </c>
      <c r="C51" s="337">
        <v>41696</v>
      </c>
      <c r="D51" s="338" t="s">
        <v>4760</v>
      </c>
      <c r="E51" s="338" t="s">
        <v>8514</v>
      </c>
      <c r="F51" s="338"/>
      <c r="G51" s="338" t="s">
        <v>413</v>
      </c>
      <c r="H51" s="338" t="s">
        <v>425</v>
      </c>
      <c r="I51" s="338" t="s">
        <v>1243</v>
      </c>
      <c r="J51" s="339"/>
      <c r="K51" s="339"/>
      <c r="L51" s="339" t="s">
        <v>409</v>
      </c>
      <c r="M51" s="339" t="s">
        <v>409</v>
      </c>
      <c r="N51" s="338" t="s">
        <v>417</v>
      </c>
      <c r="O51" s="338" t="s">
        <v>409</v>
      </c>
      <c r="P51" s="338" t="s">
        <v>432</v>
      </c>
    </row>
    <row r="52" spans="2:16" x14ac:dyDescent="0.25">
      <c r="B52" s="336" t="s">
        <v>416</v>
      </c>
      <c r="C52" s="337">
        <v>41695</v>
      </c>
      <c r="D52" s="338" t="s">
        <v>8513</v>
      </c>
      <c r="E52" s="338" t="s">
        <v>8512</v>
      </c>
      <c r="F52" s="338"/>
      <c r="G52" s="338" t="s">
        <v>413</v>
      </c>
      <c r="H52" s="338" t="s">
        <v>412</v>
      </c>
      <c r="I52" s="338" t="s">
        <v>411</v>
      </c>
      <c r="J52" s="339"/>
      <c r="K52" s="339"/>
      <c r="L52" s="339" t="s">
        <v>409</v>
      </c>
      <c r="M52" s="339" t="s">
        <v>409</v>
      </c>
      <c r="N52" s="338" t="s">
        <v>487</v>
      </c>
      <c r="O52" s="338" t="s">
        <v>409</v>
      </c>
      <c r="P52" s="338" t="s">
        <v>417</v>
      </c>
    </row>
    <row r="53" spans="2:16" x14ac:dyDescent="0.25">
      <c r="B53" s="336" t="s">
        <v>459</v>
      </c>
      <c r="C53" s="337">
        <v>41695</v>
      </c>
      <c r="D53" s="338" t="s">
        <v>8511</v>
      </c>
      <c r="E53" s="338" t="s">
        <v>8510</v>
      </c>
      <c r="F53" s="338"/>
      <c r="G53" s="338">
        <v>1.2</v>
      </c>
      <c r="H53" s="338" t="s">
        <v>425</v>
      </c>
      <c r="I53" s="338" t="s">
        <v>411</v>
      </c>
      <c r="J53" s="339"/>
      <c r="K53" s="339"/>
      <c r="L53" s="339" t="s">
        <v>409</v>
      </c>
      <c r="M53" s="339" t="s">
        <v>409</v>
      </c>
      <c r="N53" s="338"/>
      <c r="O53" s="338" t="s">
        <v>409</v>
      </c>
      <c r="P53" s="338"/>
    </row>
    <row r="54" spans="2:16" x14ac:dyDescent="0.25">
      <c r="B54" s="336" t="s">
        <v>416</v>
      </c>
      <c r="C54" s="337">
        <v>41695</v>
      </c>
      <c r="D54" s="338" t="s">
        <v>8509</v>
      </c>
      <c r="E54" s="338" t="s">
        <v>8508</v>
      </c>
      <c r="F54" s="338"/>
      <c r="G54" s="338" t="s">
        <v>413</v>
      </c>
      <c r="H54" s="338" t="s">
        <v>425</v>
      </c>
      <c r="I54" s="338" t="s">
        <v>411</v>
      </c>
      <c r="J54" s="339"/>
      <c r="K54" s="339"/>
      <c r="L54" s="339" t="s">
        <v>409</v>
      </c>
      <c r="M54" s="339" t="s">
        <v>409</v>
      </c>
      <c r="N54" s="338"/>
      <c r="O54" s="338" t="s">
        <v>409</v>
      </c>
      <c r="P54" s="338" t="s">
        <v>410</v>
      </c>
    </row>
    <row r="55" spans="2:16" x14ac:dyDescent="0.25">
      <c r="B55" s="336" t="s">
        <v>416</v>
      </c>
      <c r="C55" s="337">
        <v>41694</v>
      </c>
      <c r="D55" s="338" t="s">
        <v>8507</v>
      </c>
      <c r="E55" s="338" t="s">
        <v>8506</v>
      </c>
      <c r="F55" s="338" t="s">
        <v>8505</v>
      </c>
      <c r="G55" s="338" t="s">
        <v>413</v>
      </c>
      <c r="H55" s="338" t="s">
        <v>425</v>
      </c>
      <c r="I55" s="338" t="s">
        <v>1243</v>
      </c>
      <c r="J55" s="339"/>
      <c r="K55" s="339"/>
      <c r="L55" s="339"/>
      <c r="M55" s="339"/>
      <c r="N55" s="338"/>
      <c r="O55" s="338" t="s">
        <v>410</v>
      </c>
      <c r="P55" s="338" t="s">
        <v>417</v>
      </c>
    </row>
    <row r="56" spans="2:16" x14ac:dyDescent="0.25">
      <c r="B56" s="336" t="s">
        <v>416</v>
      </c>
      <c r="C56" s="337">
        <v>41694</v>
      </c>
      <c r="D56" s="338" t="s">
        <v>8504</v>
      </c>
      <c r="E56" s="338" t="s">
        <v>8153</v>
      </c>
      <c r="F56" s="338" t="s">
        <v>8503</v>
      </c>
      <c r="G56" s="338" t="s">
        <v>413</v>
      </c>
      <c r="H56" s="338" t="s">
        <v>425</v>
      </c>
      <c r="I56" s="338" t="s">
        <v>8150</v>
      </c>
      <c r="J56" s="339"/>
      <c r="K56" s="339"/>
      <c r="L56" s="339">
        <v>0.75888299999999997</v>
      </c>
      <c r="M56" s="339">
        <v>4.2043900000000001</v>
      </c>
      <c r="N56" s="338"/>
      <c r="O56" s="338" t="s">
        <v>408</v>
      </c>
      <c r="P56" s="338"/>
    </row>
    <row r="57" spans="2:16" x14ac:dyDescent="0.25">
      <c r="B57" s="336" t="s">
        <v>416</v>
      </c>
      <c r="C57" s="337">
        <v>41694</v>
      </c>
      <c r="D57" s="338" t="s">
        <v>8502</v>
      </c>
      <c r="E57" s="338" t="s">
        <v>7145</v>
      </c>
      <c r="F57" s="338"/>
      <c r="G57" s="338">
        <v>92.5</v>
      </c>
      <c r="H57" s="338" t="s">
        <v>425</v>
      </c>
      <c r="I57" s="338" t="s">
        <v>1243</v>
      </c>
      <c r="J57" s="339"/>
      <c r="K57" s="339"/>
      <c r="L57" s="339" t="s">
        <v>409</v>
      </c>
      <c r="M57" s="339" t="s">
        <v>409</v>
      </c>
      <c r="N57" s="338" t="s">
        <v>417</v>
      </c>
      <c r="O57" s="338" t="s">
        <v>409</v>
      </c>
      <c r="P57" s="338" t="s">
        <v>417</v>
      </c>
    </row>
    <row r="58" spans="2:16" x14ac:dyDescent="0.25">
      <c r="B58" s="336" t="s">
        <v>416</v>
      </c>
      <c r="C58" s="337">
        <v>41694</v>
      </c>
      <c r="D58" s="338" t="s">
        <v>8501</v>
      </c>
      <c r="E58" s="338" t="s">
        <v>8500</v>
      </c>
      <c r="F58" s="338" t="s">
        <v>1249</v>
      </c>
      <c r="G58" s="338">
        <v>32.4</v>
      </c>
      <c r="H58" s="338" t="s">
        <v>425</v>
      </c>
      <c r="I58" s="338" t="s">
        <v>411</v>
      </c>
      <c r="J58" s="339"/>
      <c r="K58" s="339"/>
      <c r="L58" s="339">
        <v>1.74013</v>
      </c>
      <c r="M58" s="339">
        <v>11.651400000000001</v>
      </c>
      <c r="N58" s="338"/>
      <c r="O58" s="338" t="s">
        <v>417</v>
      </c>
      <c r="P58" s="338" t="s">
        <v>417</v>
      </c>
    </row>
    <row r="59" spans="2:16" x14ac:dyDescent="0.25">
      <c r="B59" s="336" t="s">
        <v>416</v>
      </c>
      <c r="C59" s="337">
        <v>41694</v>
      </c>
      <c r="D59" s="338" t="s">
        <v>8499</v>
      </c>
      <c r="E59" s="338" t="s">
        <v>8498</v>
      </c>
      <c r="F59" s="338"/>
      <c r="G59" s="338" t="s">
        <v>413</v>
      </c>
      <c r="H59" s="338" t="s">
        <v>412</v>
      </c>
      <c r="I59" s="338" t="s">
        <v>411</v>
      </c>
      <c r="J59" s="339"/>
      <c r="K59" s="339"/>
      <c r="L59" s="339" t="s">
        <v>409</v>
      </c>
      <c r="M59" s="339" t="s">
        <v>409</v>
      </c>
      <c r="N59" s="338"/>
      <c r="O59" s="338" t="s">
        <v>409</v>
      </c>
      <c r="P59" s="338" t="s">
        <v>482</v>
      </c>
    </row>
    <row r="60" spans="2:16" x14ac:dyDescent="0.25">
      <c r="B60" s="336" t="s">
        <v>459</v>
      </c>
      <c r="C60" s="337">
        <v>41694</v>
      </c>
      <c r="D60" s="338" t="s">
        <v>8497</v>
      </c>
      <c r="E60" s="338" t="s">
        <v>8153</v>
      </c>
      <c r="F60" s="338" t="s">
        <v>8496</v>
      </c>
      <c r="G60" s="338" t="s">
        <v>413</v>
      </c>
      <c r="H60" s="338" t="s">
        <v>412</v>
      </c>
      <c r="I60" s="338" t="s">
        <v>8150</v>
      </c>
      <c r="J60" s="339"/>
      <c r="K60" s="339"/>
      <c r="L60" s="339">
        <v>0.59594800000000003</v>
      </c>
      <c r="M60" s="339">
        <v>9.2187999999999999</v>
      </c>
      <c r="N60" s="338" t="s">
        <v>417</v>
      </c>
      <c r="O60" s="338" t="s">
        <v>410</v>
      </c>
      <c r="P60" s="338"/>
    </row>
    <row r="61" spans="2:16" x14ac:dyDescent="0.25">
      <c r="B61" s="336" t="s">
        <v>416</v>
      </c>
      <c r="C61" s="337">
        <v>41691</v>
      </c>
      <c r="D61" s="338" t="s">
        <v>8495</v>
      </c>
      <c r="E61" s="338" t="s">
        <v>3345</v>
      </c>
      <c r="F61" s="338"/>
      <c r="G61" s="338" t="s">
        <v>413</v>
      </c>
      <c r="H61" s="338" t="s">
        <v>412</v>
      </c>
      <c r="I61" s="338" t="s">
        <v>1243</v>
      </c>
      <c r="J61" s="339"/>
      <c r="K61" s="339"/>
      <c r="L61" s="339" t="s">
        <v>409</v>
      </c>
      <c r="M61" s="339" t="s">
        <v>409</v>
      </c>
      <c r="N61" s="338" t="s">
        <v>417</v>
      </c>
      <c r="O61" s="338" t="s">
        <v>409</v>
      </c>
      <c r="P61" s="338" t="s">
        <v>443</v>
      </c>
    </row>
    <row r="62" spans="2:16" x14ac:dyDescent="0.25">
      <c r="B62" s="336" t="s">
        <v>416</v>
      </c>
      <c r="C62" s="337">
        <v>41691</v>
      </c>
      <c r="D62" s="338" t="s">
        <v>7363</v>
      </c>
      <c r="E62" s="338" t="s">
        <v>6912</v>
      </c>
      <c r="F62" s="338" t="s">
        <v>538</v>
      </c>
      <c r="G62" s="338" t="s">
        <v>413</v>
      </c>
      <c r="H62" s="338" t="s">
        <v>425</v>
      </c>
      <c r="I62" s="338" t="s">
        <v>8150</v>
      </c>
      <c r="J62" s="339"/>
      <c r="K62" s="339"/>
      <c r="L62" s="339">
        <v>0.21088399999999999</v>
      </c>
      <c r="M62" s="339">
        <v>238.93199999999999</v>
      </c>
      <c r="N62" s="338" t="s">
        <v>432</v>
      </c>
      <c r="O62" s="338" t="s">
        <v>417</v>
      </c>
      <c r="P62" s="338" t="s">
        <v>443</v>
      </c>
    </row>
    <row r="63" spans="2:16" x14ac:dyDescent="0.25">
      <c r="B63" s="336" t="s">
        <v>416</v>
      </c>
      <c r="C63" s="337">
        <v>41691</v>
      </c>
      <c r="D63" s="338" t="s">
        <v>538</v>
      </c>
      <c r="E63" s="338" t="s">
        <v>6912</v>
      </c>
      <c r="F63" s="338"/>
      <c r="G63" s="338">
        <v>606.79</v>
      </c>
      <c r="H63" s="338" t="s">
        <v>425</v>
      </c>
      <c r="I63" s="338" t="s">
        <v>8150</v>
      </c>
      <c r="J63" s="339">
        <v>0.21088399999999999</v>
      </c>
      <c r="K63" s="339">
        <v>238.93199999999999</v>
      </c>
      <c r="L63" s="339" t="s">
        <v>409</v>
      </c>
      <c r="M63" s="339" t="s">
        <v>409</v>
      </c>
      <c r="N63" s="338" t="s">
        <v>417</v>
      </c>
      <c r="O63" s="338" t="s">
        <v>409</v>
      </c>
      <c r="P63" s="338" t="s">
        <v>443</v>
      </c>
    </row>
    <row r="64" spans="2:16" x14ac:dyDescent="0.25">
      <c r="B64" s="336" t="s">
        <v>416</v>
      </c>
      <c r="C64" s="337">
        <v>41691</v>
      </c>
      <c r="D64" s="338" t="s">
        <v>8495</v>
      </c>
      <c r="E64" s="338" t="s">
        <v>7948</v>
      </c>
      <c r="F64" s="338" t="s">
        <v>3004</v>
      </c>
      <c r="G64" s="338" t="s">
        <v>413</v>
      </c>
      <c r="H64" s="338" t="s">
        <v>412</v>
      </c>
      <c r="I64" s="338" t="s">
        <v>1243</v>
      </c>
      <c r="J64" s="339"/>
      <c r="K64" s="339"/>
      <c r="L64" s="339">
        <v>0.398536</v>
      </c>
      <c r="M64" s="339">
        <v>5.4193699999999998</v>
      </c>
      <c r="N64" s="338" t="s">
        <v>417</v>
      </c>
      <c r="O64" s="338" t="s">
        <v>417</v>
      </c>
      <c r="P64" s="338" t="s">
        <v>417</v>
      </c>
    </row>
    <row r="65" spans="2:16" x14ac:dyDescent="0.25">
      <c r="B65" s="336" t="s">
        <v>416</v>
      </c>
      <c r="C65" s="337">
        <v>41690</v>
      </c>
      <c r="D65" s="338" t="s">
        <v>8494</v>
      </c>
      <c r="E65" s="338" t="s">
        <v>8493</v>
      </c>
      <c r="F65" s="338"/>
      <c r="G65" s="338" t="s">
        <v>413</v>
      </c>
      <c r="H65" s="338" t="s">
        <v>412</v>
      </c>
      <c r="I65" s="338" t="s">
        <v>1243</v>
      </c>
      <c r="J65" s="339"/>
      <c r="K65" s="339"/>
      <c r="L65" s="339" t="s">
        <v>409</v>
      </c>
      <c r="M65" s="339" t="s">
        <v>409</v>
      </c>
      <c r="N65" s="338" t="s">
        <v>417</v>
      </c>
      <c r="O65" s="338" t="s">
        <v>409</v>
      </c>
      <c r="P65" s="338" t="s">
        <v>432</v>
      </c>
    </row>
    <row r="66" spans="2:16" x14ac:dyDescent="0.25">
      <c r="B66" s="336" t="s">
        <v>416</v>
      </c>
      <c r="C66" s="337">
        <v>41690</v>
      </c>
      <c r="D66" s="338" t="s">
        <v>8492</v>
      </c>
      <c r="E66" s="338" t="s">
        <v>4600</v>
      </c>
      <c r="F66" s="338"/>
      <c r="G66" s="338">
        <v>0.48</v>
      </c>
      <c r="H66" s="338" t="s">
        <v>425</v>
      </c>
      <c r="I66" s="338" t="s">
        <v>411</v>
      </c>
      <c r="J66" s="339"/>
      <c r="K66" s="339"/>
      <c r="L66" s="339" t="s">
        <v>409</v>
      </c>
      <c r="M66" s="339" t="s">
        <v>409</v>
      </c>
      <c r="N66" s="338" t="s">
        <v>417</v>
      </c>
      <c r="O66" s="338" t="s">
        <v>409</v>
      </c>
      <c r="P66" s="338" t="s">
        <v>417</v>
      </c>
    </row>
    <row r="67" spans="2:16" x14ac:dyDescent="0.25">
      <c r="B67" s="336" t="s">
        <v>416</v>
      </c>
      <c r="C67" s="337">
        <v>41689</v>
      </c>
      <c r="D67" s="338" t="s">
        <v>5815</v>
      </c>
      <c r="E67" s="338" t="s">
        <v>8418</v>
      </c>
      <c r="F67" s="338"/>
      <c r="G67" s="338" t="s">
        <v>413</v>
      </c>
      <c r="H67" s="338" t="s">
        <v>412</v>
      </c>
      <c r="I67" s="338" t="s">
        <v>1243</v>
      </c>
      <c r="J67" s="339"/>
      <c r="K67" s="339"/>
      <c r="L67" s="339" t="s">
        <v>409</v>
      </c>
      <c r="M67" s="339" t="s">
        <v>409</v>
      </c>
      <c r="N67" s="338" t="s">
        <v>417</v>
      </c>
      <c r="O67" s="338" t="s">
        <v>409</v>
      </c>
      <c r="P67" s="338" t="s">
        <v>417</v>
      </c>
    </row>
    <row r="68" spans="2:16" x14ac:dyDescent="0.25">
      <c r="B68" s="336" t="s">
        <v>416</v>
      </c>
      <c r="C68" s="337">
        <v>41689</v>
      </c>
      <c r="D68" s="338" t="s">
        <v>3743</v>
      </c>
      <c r="E68" s="338" t="s">
        <v>7398</v>
      </c>
      <c r="F68" s="338"/>
      <c r="G68" s="338">
        <v>1198.06</v>
      </c>
      <c r="H68" s="338" t="s">
        <v>425</v>
      </c>
      <c r="I68" s="338" t="s">
        <v>1243</v>
      </c>
      <c r="J68" s="339">
        <v>0.530887</v>
      </c>
      <c r="K68" s="339">
        <v>14.640700000000001</v>
      </c>
      <c r="L68" s="339" t="s">
        <v>409</v>
      </c>
      <c r="M68" s="339" t="s">
        <v>409</v>
      </c>
      <c r="N68" s="338" t="s">
        <v>417</v>
      </c>
      <c r="O68" s="338" t="s">
        <v>409</v>
      </c>
      <c r="P68" s="338" t="s">
        <v>417</v>
      </c>
    </row>
    <row r="69" spans="2:16" x14ac:dyDescent="0.25">
      <c r="B69" s="336" t="s">
        <v>416</v>
      </c>
      <c r="C69" s="337">
        <v>41688</v>
      </c>
      <c r="D69" s="338" t="s">
        <v>8491</v>
      </c>
      <c r="E69" s="338" t="s">
        <v>8490</v>
      </c>
      <c r="F69" s="338" t="s">
        <v>8489</v>
      </c>
      <c r="G69" s="338">
        <v>150</v>
      </c>
      <c r="H69" s="338" t="s">
        <v>425</v>
      </c>
      <c r="I69" s="338" t="s">
        <v>411</v>
      </c>
      <c r="J69" s="339"/>
      <c r="K69" s="339"/>
      <c r="L69" s="339"/>
      <c r="M69" s="339"/>
      <c r="N69" s="338"/>
      <c r="O69" s="338" t="s">
        <v>417</v>
      </c>
      <c r="P69" s="338" t="s">
        <v>417</v>
      </c>
    </row>
    <row r="70" spans="2:16" x14ac:dyDescent="0.25">
      <c r="B70" s="336" t="s">
        <v>416</v>
      </c>
      <c r="C70" s="337">
        <v>41683</v>
      </c>
      <c r="D70" s="338" t="s">
        <v>8488</v>
      </c>
      <c r="E70" s="338" t="s">
        <v>2987</v>
      </c>
      <c r="F70" s="338"/>
      <c r="G70" s="338" t="s">
        <v>413</v>
      </c>
      <c r="H70" s="338" t="s">
        <v>425</v>
      </c>
      <c r="I70" s="338" t="s">
        <v>411</v>
      </c>
      <c r="J70" s="339"/>
      <c r="K70" s="339"/>
      <c r="L70" s="339" t="s">
        <v>409</v>
      </c>
      <c r="M70" s="339" t="s">
        <v>409</v>
      </c>
      <c r="N70" s="338"/>
      <c r="O70" s="338" t="s">
        <v>409</v>
      </c>
      <c r="P70" s="338" t="s">
        <v>417</v>
      </c>
    </row>
    <row r="71" spans="2:16" x14ac:dyDescent="0.25">
      <c r="B71" s="336" t="s">
        <v>416</v>
      </c>
      <c r="C71" s="337">
        <v>41682</v>
      </c>
      <c r="D71" s="338" t="s">
        <v>8487</v>
      </c>
      <c r="E71" s="338" t="s">
        <v>7290</v>
      </c>
      <c r="F71" s="338" t="s">
        <v>8486</v>
      </c>
      <c r="G71" s="338" t="s">
        <v>413</v>
      </c>
      <c r="H71" s="338" t="s">
        <v>425</v>
      </c>
      <c r="I71" s="338" t="s">
        <v>411</v>
      </c>
      <c r="J71" s="339"/>
      <c r="K71" s="339"/>
      <c r="L71" s="339"/>
      <c r="M71" s="339"/>
      <c r="N71" s="338"/>
      <c r="O71" s="338" t="s">
        <v>410</v>
      </c>
      <c r="P71" s="338" t="s">
        <v>410</v>
      </c>
    </row>
    <row r="72" spans="2:16" x14ac:dyDescent="0.25">
      <c r="B72" s="336" t="s">
        <v>416</v>
      </c>
      <c r="C72" s="337">
        <v>41682</v>
      </c>
      <c r="D72" s="338" t="s">
        <v>8485</v>
      </c>
      <c r="E72" s="338" t="s">
        <v>1225</v>
      </c>
      <c r="F72" s="338"/>
      <c r="G72" s="338" t="s">
        <v>413</v>
      </c>
      <c r="H72" s="338" t="s">
        <v>412</v>
      </c>
      <c r="I72" s="338" t="s">
        <v>1243</v>
      </c>
      <c r="J72" s="339"/>
      <c r="K72" s="339"/>
      <c r="L72" s="339" t="s">
        <v>409</v>
      </c>
      <c r="M72" s="339" t="s">
        <v>409</v>
      </c>
      <c r="N72" s="338"/>
      <c r="O72" s="338" t="s">
        <v>409</v>
      </c>
      <c r="P72" s="338" t="s">
        <v>417</v>
      </c>
    </row>
    <row r="73" spans="2:16" x14ac:dyDescent="0.25">
      <c r="B73" s="336" t="s">
        <v>416</v>
      </c>
      <c r="C73" s="337">
        <v>41681</v>
      </c>
      <c r="D73" s="338" t="s">
        <v>3104</v>
      </c>
      <c r="E73" s="338" t="s">
        <v>8484</v>
      </c>
      <c r="F73" s="338"/>
      <c r="G73" s="338" t="s">
        <v>413</v>
      </c>
      <c r="H73" s="338" t="s">
        <v>412</v>
      </c>
      <c r="I73" s="338" t="s">
        <v>1243</v>
      </c>
      <c r="J73" s="339"/>
      <c r="K73" s="339"/>
      <c r="L73" s="339" t="s">
        <v>409</v>
      </c>
      <c r="M73" s="339" t="s">
        <v>409</v>
      </c>
      <c r="N73" s="338" t="s">
        <v>417</v>
      </c>
      <c r="O73" s="338" t="s">
        <v>409</v>
      </c>
      <c r="P73" s="338" t="s">
        <v>443</v>
      </c>
    </row>
    <row r="74" spans="2:16" x14ac:dyDescent="0.25">
      <c r="B74" s="336" t="s">
        <v>416</v>
      </c>
      <c r="C74" s="337">
        <v>41680</v>
      </c>
      <c r="D74" s="338" t="s">
        <v>8483</v>
      </c>
      <c r="E74" s="338" t="s">
        <v>3588</v>
      </c>
      <c r="F74" s="338"/>
      <c r="G74" s="338" t="s">
        <v>413</v>
      </c>
      <c r="H74" s="338" t="s">
        <v>412</v>
      </c>
      <c r="I74" s="338" t="s">
        <v>411</v>
      </c>
      <c r="J74" s="339"/>
      <c r="K74" s="339"/>
      <c r="L74" s="339" t="s">
        <v>409</v>
      </c>
      <c r="M74" s="339" t="s">
        <v>409</v>
      </c>
      <c r="N74" s="338" t="s">
        <v>417</v>
      </c>
      <c r="O74" s="338" t="s">
        <v>409</v>
      </c>
      <c r="P74" s="338" t="s">
        <v>417</v>
      </c>
    </row>
    <row r="75" spans="2:16" x14ac:dyDescent="0.25">
      <c r="B75" s="336" t="s">
        <v>416</v>
      </c>
      <c r="C75" s="337">
        <v>41680</v>
      </c>
      <c r="D75" s="338" t="s">
        <v>8482</v>
      </c>
      <c r="E75" s="338" t="s">
        <v>8481</v>
      </c>
      <c r="F75" s="338"/>
      <c r="G75" s="338" t="s">
        <v>413</v>
      </c>
      <c r="H75" s="338" t="s">
        <v>412</v>
      </c>
      <c r="I75" s="338" t="s">
        <v>411</v>
      </c>
      <c r="J75" s="339"/>
      <c r="K75" s="339"/>
      <c r="L75" s="339" t="s">
        <v>409</v>
      </c>
      <c r="M75" s="339" t="s">
        <v>409</v>
      </c>
      <c r="N75" s="338" t="s">
        <v>410</v>
      </c>
      <c r="O75" s="338" t="s">
        <v>409</v>
      </c>
      <c r="P75" s="338" t="s">
        <v>410</v>
      </c>
    </row>
    <row r="76" spans="2:16" x14ac:dyDescent="0.25">
      <c r="B76" s="336" t="s">
        <v>416</v>
      </c>
      <c r="C76" s="337">
        <v>41680</v>
      </c>
      <c r="D76" s="338" t="s">
        <v>8480</v>
      </c>
      <c r="E76" s="338" t="s">
        <v>598</v>
      </c>
      <c r="F76" s="338"/>
      <c r="G76" s="338" t="s">
        <v>413</v>
      </c>
      <c r="H76" s="338" t="s">
        <v>425</v>
      </c>
      <c r="I76" s="338" t="s">
        <v>411</v>
      </c>
      <c r="J76" s="339"/>
      <c r="K76" s="339"/>
      <c r="L76" s="339" t="s">
        <v>409</v>
      </c>
      <c r="M76" s="339" t="s">
        <v>409</v>
      </c>
      <c r="N76" s="338"/>
      <c r="O76" s="338" t="s">
        <v>409</v>
      </c>
      <c r="P76" s="338" t="s">
        <v>417</v>
      </c>
    </row>
    <row r="77" spans="2:16" x14ac:dyDescent="0.25">
      <c r="B77" s="336" t="s">
        <v>416</v>
      </c>
      <c r="C77" s="337">
        <v>41680</v>
      </c>
      <c r="D77" s="338" t="s">
        <v>8479</v>
      </c>
      <c r="E77" s="338" t="s">
        <v>8478</v>
      </c>
      <c r="F77" s="338"/>
      <c r="G77" s="338" t="s">
        <v>413</v>
      </c>
      <c r="H77" s="338" t="s">
        <v>412</v>
      </c>
      <c r="I77" s="338" t="s">
        <v>1243</v>
      </c>
      <c r="J77" s="339"/>
      <c r="K77" s="339"/>
      <c r="L77" s="339" t="s">
        <v>409</v>
      </c>
      <c r="M77" s="339" t="s">
        <v>409</v>
      </c>
      <c r="N77" s="338" t="s">
        <v>417</v>
      </c>
      <c r="O77" s="338" t="s">
        <v>409</v>
      </c>
      <c r="P77" s="338" t="s">
        <v>410</v>
      </c>
    </row>
    <row r="78" spans="2:16" x14ac:dyDescent="0.25">
      <c r="B78" s="336" t="s">
        <v>459</v>
      </c>
      <c r="C78" s="337">
        <v>41676</v>
      </c>
      <c r="D78" s="338" t="s">
        <v>8477</v>
      </c>
      <c r="E78" s="338" t="s">
        <v>8476</v>
      </c>
      <c r="F78" s="338"/>
      <c r="G78" s="338" t="s">
        <v>413</v>
      </c>
      <c r="H78" s="338" t="s">
        <v>412</v>
      </c>
      <c r="I78" s="338" t="s">
        <v>1243</v>
      </c>
      <c r="J78" s="339"/>
      <c r="K78" s="339"/>
      <c r="L78" s="339" t="s">
        <v>409</v>
      </c>
      <c r="M78" s="339" t="s">
        <v>409</v>
      </c>
      <c r="N78" s="338" t="s">
        <v>408</v>
      </c>
      <c r="O78" s="338" t="s">
        <v>409</v>
      </c>
      <c r="P78" s="338" t="s">
        <v>417</v>
      </c>
    </row>
    <row r="79" spans="2:16" x14ac:dyDescent="0.25">
      <c r="B79" s="336" t="s">
        <v>416</v>
      </c>
      <c r="C79" s="337">
        <v>41676</v>
      </c>
      <c r="D79" s="338" t="s">
        <v>8475</v>
      </c>
      <c r="E79" s="338" t="s">
        <v>8474</v>
      </c>
      <c r="F79" s="338"/>
      <c r="G79" s="338">
        <v>30</v>
      </c>
      <c r="H79" s="338" t="s">
        <v>336</v>
      </c>
      <c r="I79" s="338" t="s">
        <v>1243</v>
      </c>
      <c r="J79" s="339"/>
      <c r="K79" s="339"/>
      <c r="L79" s="339" t="s">
        <v>409</v>
      </c>
      <c r="M79" s="339" t="s">
        <v>409</v>
      </c>
      <c r="N79" s="338" t="s">
        <v>417</v>
      </c>
      <c r="O79" s="338" t="s">
        <v>409</v>
      </c>
      <c r="P79" s="338" t="s">
        <v>432</v>
      </c>
    </row>
    <row r="80" spans="2:16" x14ac:dyDescent="0.25">
      <c r="B80" s="336" t="s">
        <v>416</v>
      </c>
      <c r="C80" s="337">
        <v>41676</v>
      </c>
      <c r="D80" s="338" t="s">
        <v>8473</v>
      </c>
      <c r="E80" s="338" t="s">
        <v>8472</v>
      </c>
      <c r="F80" s="338"/>
      <c r="G80" s="338" t="s">
        <v>413</v>
      </c>
      <c r="H80" s="338" t="s">
        <v>412</v>
      </c>
      <c r="I80" s="338" t="s">
        <v>411</v>
      </c>
      <c r="J80" s="339"/>
      <c r="K80" s="339"/>
      <c r="L80" s="339" t="s">
        <v>409</v>
      </c>
      <c r="M80" s="339" t="s">
        <v>409</v>
      </c>
      <c r="N80" s="338" t="s">
        <v>417</v>
      </c>
      <c r="O80" s="338" t="s">
        <v>409</v>
      </c>
      <c r="P80" s="338" t="s">
        <v>443</v>
      </c>
    </row>
    <row r="81" spans="2:16" x14ac:dyDescent="0.25">
      <c r="B81" s="336" t="s">
        <v>416</v>
      </c>
      <c r="C81" s="337">
        <v>41676</v>
      </c>
      <c r="D81" s="338" t="s">
        <v>8471</v>
      </c>
      <c r="E81" s="338" t="s">
        <v>8470</v>
      </c>
      <c r="F81" s="338"/>
      <c r="G81" s="338" t="s">
        <v>413</v>
      </c>
      <c r="H81" s="338" t="s">
        <v>412</v>
      </c>
      <c r="I81" s="338" t="s">
        <v>1243</v>
      </c>
      <c r="J81" s="339"/>
      <c r="K81" s="339"/>
      <c r="L81" s="339" t="s">
        <v>409</v>
      </c>
      <c r="M81" s="339" t="s">
        <v>409</v>
      </c>
      <c r="N81" s="338" t="s">
        <v>432</v>
      </c>
      <c r="O81" s="338" t="s">
        <v>409</v>
      </c>
      <c r="P81" s="338" t="s">
        <v>417</v>
      </c>
    </row>
    <row r="82" spans="2:16" x14ac:dyDescent="0.25">
      <c r="B82" s="336" t="s">
        <v>459</v>
      </c>
      <c r="C82" s="337">
        <v>41676</v>
      </c>
      <c r="D82" s="338" t="s">
        <v>8469</v>
      </c>
      <c r="E82" s="338" t="s">
        <v>8468</v>
      </c>
      <c r="F82" s="338"/>
      <c r="G82" s="338">
        <v>2</v>
      </c>
      <c r="H82" s="338" t="s">
        <v>425</v>
      </c>
      <c r="I82" s="338" t="s">
        <v>411</v>
      </c>
      <c r="J82" s="339"/>
      <c r="K82" s="339"/>
      <c r="L82" s="339" t="s">
        <v>409</v>
      </c>
      <c r="M82" s="339" t="s">
        <v>409</v>
      </c>
      <c r="N82" s="338" t="s">
        <v>417</v>
      </c>
      <c r="O82" s="338" t="s">
        <v>409</v>
      </c>
      <c r="P82" s="338"/>
    </row>
    <row r="83" spans="2:16" x14ac:dyDescent="0.25">
      <c r="B83" s="336" t="s">
        <v>416</v>
      </c>
      <c r="C83" s="337">
        <v>41675</v>
      </c>
      <c r="D83" s="338" t="s">
        <v>8467</v>
      </c>
      <c r="E83" s="338" t="s">
        <v>8466</v>
      </c>
      <c r="F83" s="338"/>
      <c r="G83" s="338" t="s">
        <v>413</v>
      </c>
      <c r="H83" s="338" t="s">
        <v>412</v>
      </c>
      <c r="I83" s="338" t="s">
        <v>411</v>
      </c>
      <c r="J83" s="339"/>
      <c r="K83" s="339"/>
      <c r="L83" s="339" t="s">
        <v>409</v>
      </c>
      <c r="M83" s="339" t="s">
        <v>409</v>
      </c>
      <c r="N83" s="338" t="s">
        <v>417</v>
      </c>
      <c r="O83" s="338" t="s">
        <v>409</v>
      </c>
      <c r="P83" s="338" t="s">
        <v>482</v>
      </c>
    </row>
    <row r="84" spans="2:16" x14ac:dyDescent="0.25">
      <c r="B84" s="336" t="s">
        <v>416</v>
      </c>
      <c r="C84" s="337">
        <v>41674</v>
      </c>
      <c r="D84" s="338" t="s">
        <v>8465</v>
      </c>
      <c r="E84" s="338" t="s">
        <v>598</v>
      </c>
      <c r="F84" s="338"/>
      <c r="G84" s="338" t="s">
        <v>413</v>
      </c>
      <c r="H84" s="338" t="s">
        <v>425</v>
      </c>
      <c r="I84" s="338" t="s">
        <v>411</v>
      </c>
      <c r="J84" s="339"/>
      <c r="K84" s="339"/>
      <c r="L84" s="339" t="s">
        <v>409</v>
      </c>
      <c r="M84" s="339" t="s">
        <v>409</v>
      </c>
      <c r="N84" s="338"/>
      <c r="O84" s="338" t="s">
        <v>409</v>
      </c>
      <c r="P84" s="338" t="s">
        <v>417</v>
      </c>
    </row>
    <row r="85" spans="2:16" x14ac:dyDescent="0.25">
      <c r="B85" s="336" t="s">
        <v>416</v>
      </c>
      <c r="C85" s="337">
        <v>41674</v>
      </c>
      <c r="D85" s="338" t="s">
        <v>956</v>
      </c>
      <c r="E85" s="338" t="s">
        <v>4114</v>
      </c>
      <c r="F85" s="338"/>
      <c r="G85" s="338" t="s">
        <v>413</v>
      </c>
      <c r="H85" s="338" t="s">
        <v>412</v>
      </c>
      <c r="I85" s="338" t="s">
        <v>411</v>
      </c>
      <c r="J85" s="339"/>
      <c r="K85" s="339"/>
      <c r="L85" s="339" t="s">
        <v>409</v>
      </c>
      <c r="M85" s="339" t="s">
        <v>409</v>
      </c>
      <c r="N85" s="338"/>
      <c r="O85" s="338" t="s">
        <v>409</v>
      </c>
      <c r="P85" s="338" t="s">
        <v>417</v>
      </c>
    </row>
    <row r="86" spans="2:16" x14ac:dyDescent="0.25">
      <c r="B86" s="336" t="s">
        <v>416</v>
      </c>
      <c r="C86" s="337">
        <v>41674</v>
      </c>
      <c r="D86" s="338" t="s">
        <v>8464</v>
      </c>
      <c r="E86" s="338" t="s">
        <v>8463</v>
      </c>
      <c r="F86" s="338" t="s">
        <v>8462</v>
      </c>
      <c r="G86" s="338" t="s">
        <v>413</v>
      </c>
      <c r="H86" s="338" t="s">
        <v>425</v>
      </c>
      <c r="I86" s="338" t="s">
        <v>411</v>
      </c>
      <c r="J86" s="339"/>
      <c r="K86" s="339"/>
      <c r="L86" s="339"/>
      <c r="M86" s="339"/>
      <c r="N86" s="338"/>
      <c r="O86" s="338" t="s">
        <v>612</v>
      </c>
      <c r="P86" s="338" t="s">
        <v>443</v>
      </c>
    </row>
    <row r="87" spans="2:16" x14ac:dyDescent="0.25">
      <c r="B87" s="336" t="s">
        <v>416</v>
      </c>
      <c r="C87" s="337">
        <v>41674</v>
      </c>
      <c r="D87" s="338" t="s">
        <v>8461</v>
      </c>
      <c r="E87" s="338" t="s">
        <v>2404</v>
      </c>
      <c r="F87" s="338"/>
      <c r="G87" s="338" t="s">
        <v>413</v>
      </c>
      <c r="H87" s="338" t="s">
        <v>412</v>
      </c>
      <c r="I87" s="338" t="s">
        <v>411</v>
      </c>
      <c r="J87" s="339"/>
      <c r="K87" s="339"/>
      <c r="L87" s="339" t="s">
        <v>409</v>
      </c>
      <c r="M87" s="339" t="s">
        <v>409</v>
      </c>
      <c r="N87" s="338" t="s">
        <v>417</v>
      </c>
      <c r="O87" s="338" t="s">
        <v>409</v>
      </c>
      <c r="P87" s="338" t="s">
        <v>443</v>
      </c>
    </row>
    <row r="88" spans="2:16" x14ac:dyDescent="0.25">
      <c r="B88" s="336" t="s">
        <v>416</v>
      </c>
      <c r="C88" s="337">
        <v>41673</v>
      </c>
      <c r="D88" s="338" t="s">
        <v>8460</v>
      </c>
      <c r="E88" s="338" t="s">
        <v>805</v>
      </c>
      <c r="F88" s="338"/>
      <c r="G88" s="338" t="s">
        <v>413</v>
      </c>
      <c r="H88" s="338" t="s">
        <v>412</v>
      </c>
      <c r="I88" s="338" t="s">
        <v>411</v>
      </c>
      <c r="J88" s="339"/>
      <c r="K88" s="339"/>
      <c r="L88" s="339" t="s">
        <v>409</v>
      </c>
      <c r="M88" s="339" t="s">
        <v>409</v>
      </c>
      <c r="N88" s="338" t="s">
        <v>417</v>
      </c>
      <c r="O88" s="338" t="s">
        <v>409</v>
      </c>
      <c r="P88" s="338" t="s">
        <v>417</v>
      </c>
    </row>
    <row r="89" spans="2:16" x14ac:dyDescent="0.25">
      <c r="B89" s="336" t="s">
        <v>416</v>
      </c>
      <c r="C89" s="337">
        <v>41673</v>
      </c>
      <c r="D89" s="338" t="s">
        <v>8459</v>
      </c>
      <c r="E89" s="338" t="s">
        <v>8458</v>
      </c>
      <c r="F89" s="338" t="s">
        <v>8457</v>
      </c>
      <c r="G89" s="338">
        <v>110</v>
      </c>
      <c r="H89" s="338" t="s">
        <v>425</v>
      </c>
      <c r="I89" s="338" t="s">
        <v>1243</v>
      </c>
      <c r="J89" s="339"/>
      <c r="K89" s="339"/>
      <c r="L89" s="339"/>
      <c r="M89" s="339"/>
      <c r="N89" s="338"/>
      <c r="O89" s="338" t="s">
        <v>417</v>
      </c>
      <c r="P89" s="338" t="s">
        <v>410</v>
      </c>
    </row>
    <row r="90" spans="2:16" x14ac:dyDescent="0.25">
      <c r="B90" s="336" t="s">
        <v>416</v>
      </c>
      <c r="C90" s="337">
        <v>41673</v>
      </c>
      <c r="D90" s="338" t="s">
        <v>8456</v>
      </c>
      <c r="E90" s="338" t="s">
        <v>8455</v>
      </c>
      <c r="F90" s="338"/>
      <c r="G90" s="338" t="s">
        <v>413</v>
      </c>
      <c r="H90" s="338" t="s">
        <v>412</v>
      </c>
      <c r="I90" s="338" t="s">
        <v>411</v>
      </c>
      <c r="J90" s="339"/>
      <c r="K90" s="339"/>
      <c r="L90" s="339" t="s">
        <v>409</v>
      </c>
      <c r="M90" s="339" t="s">
        <v>409</v>
      </c>
      <c r="N90" s="338" t="s">
        <v>482</v>
      </c>
      <c r="O90" s="338" t="s">
        <v>409</v>
      </c>
      <c r="P90" s="338" t="s">
        <v>482</v>
      </c>
    </row>
    <row r="91" spans="2:16" x14ac:dyDescent="0.25">
      <c r="B91" s="336" t="s">
        <v>416</v>
      </c>
      <c r="C91" s="337">
        <v>41673</v>
      </c>
      <c r="D91" s="338" t="s">
        <v>8454</v>
      </c>
      <c r="E91" s="338" t="s">
        <v>8453</v>
      </c>
      <c r="F91" s="338" t="s">
        <v>716</v>
      </c>
      <c r="G91" s="338" t="s">
        <v>413</v>
      </c>
      <c r="H91" s="338" t="s">
        <v>425</v>
      </c>
      <c r="I91" s="338" t="s">
        <v>411</v>
      </c>
      <c r="J91" s="339"/>
      <c r="K91" s="339"/>
      <c r="L91" s="339"/>
      <c r="M91" s="339"/>
      <c r="N91" s="338" t="s">
        <v>417</v>
      </c>
      <c r="O91" s="338" t="s">
        <v>443</v>
      </c>
      <c r="P91" s="338" t="s">
        <v>443</v>
      </c>
    </row>
    <row r="92" spans="2:16" x14ac:dyDescent="0.25">
      <c r="B92" s="336" t="s">
        <v>416</v>
      </c>
      <c r="C92" s="337">
        <v>41673</v>
      </c>
      <c r="D92" s="338" t="s">
        <v>8452</v>
      </c>
      <c r="E92" s="338" t="s">
        <v>5872</v>
      </c>
      <c r="F92" s="338" t="s">
        <v>8451</v>
      </c>
      <c r="G92" s="338" t="s">
        <v>413</v>
      </c>
      <c r="H92" s="338" t="s">
        <v>425</v>
      </c>
      <c r="I92" s="338" t="s">
        <v>411</v>
      </c>
      <c r="J92" s="339"/>
      <c r="K92" s="339"/>
      <c r="L92" s="339"/>
      <c r="M92" s="339"/>
      <c r="N92" s="338"/>
      <c r="O92" s="338" t="s">
        <v>410</v>
      </c>
      <c r="P92" s="338" t="s">
        <v>410</v>
      </c>
    </row>
    <row r="93" spans="2:16" x14ac:dyDescent="0.25">
      <c r="B93" s="336" t="s">
        <v>416</v>
      </c>
      <c r="C93" s="337">
        <v>41670</v>
      </c>
      <c r="D93" s="338" t="s">
        <v>8450</v>
      </c>
      <c r="E93" s="338" t="s">
        <v>8449</v>
      </c>
      <c r="F93" s="338" t="s">
        <v>4132</v>
      </c>
      <c r="G93" s="338" t="s">
        <v>413</v>
      </c>
      <c r="H93" s="338" t="s">
        <v>425</v>
      </c>
      <c r="I93" s="338" t="s">
        <v>411</v>
      </c>
      <c r="J93" s="339"/>
      <c r="K93" s="339"/>
      <c r="L93" s="339"/>
      <c r="M93" s="339"/>
      <c r="N93" s="338"/>
      <c r="O93" s="338" t="s">
        <v>417</v>
      </c>
      <c r="P93" s="338" t="s">
        <v>417</v>
      </c>
    </row>
    <row r="94" spans="2:16" x14ac:dyDescent="0.25">
      <c r="B94" s="336" t="s">
        <v>459</v>
      </c>
      <c r="C94" s="337">
        <v>41670</v>
      </c>
      <c r="D94" s="338" t="s">
        <v>8448</v>
      </c>
      <c r="E94" s="338" t="s">
        <v>514</v>
      </c>
      <c r="F94" s="338"/>
      <c r="G94" s="338">
        <v>1.2</v>
      </c>
      <c r="H94" s="338" t="s">
        <v>425</v>
      </c>
      <c r="I94" s="338" t="s">
        <v>411</v>
      </c>
      <c r="J94" s="339"/>
      <c r="K94" s="339"/>
      <c r="L94" s="339" t="s">
        <v>409</v>
      </c>
      <c r="M94" s="339" t="s">
        <v>409</v>
      </c>
      <c r="N94" s="338" t="s">
        <v>417</v>
      </c>
      <c r="O94" s="338" t="s">
        <v>409</v>
      </c>
      <c r="P94" s="338"/>
    </row>
    <row r="95" spans="2:16" x14ac:dyDescent="0.25">
      <c r="B95" s="336" t="s">
        <v>459</v>
      </c>
      <c r="C95" s="337">
        <v>41669</v>
      </c>
      <c r="D95" s="338" t="s">
        <v>7384</v>
      </c>
      <c r="E95" s="338" t="s">
        <v>7383</v>
      </c>
      <c r="F95" s="338"/>
      <c r="G95" s="338">
        <v>25.75</v>
      </c>
      <c r="H95" s="338" t="s">
        <v>425</v>
      </c>
      <c r="I95" s="338" t="s">
        <v>411</v>
      </c>
      <c r="J95" s="339"/>
      <c r="K95" s="339"/>
      <c r="L95" s="339" t="s">
        <v>409</v>
      </c>
      <c r="M95" s="339" t="s">
        <v>409</v>
      </c>
      <c r="N95" s="338" t="s">
        <v>417</v>
      </c>
      <c r="O95" s="338" t="s">
        <v>409</v>
      </c>
      <c r="P95" s="338"/>
    </row>
    <row r="96" spans="2:16" x14ac:dyDescent="0.25">
      <c r="B96" s="336" t="s">
        <v>416</v>
      </c>
      <c r="C96" s="337">
        <v>41669</v>
      </c>
      <c r="D96" s="338" t="s">
        <v>8447</v>
      </c>
      <c r="E96" s="338" t="s">
        <v>685</v>
      </c>
      <c r="F96" s="338" t="s">
        <v>8446</v>
      </c>
      <c r="G96" s="338">
        <v>69.900000000000006</v>
      </c>
      <c r="H96" s="338" t="s">
        <v>425</v>
      </c>
      <c r="I96" s="338" t="s">
        <v>411</v>
      </c>
      <c r="J96" s="339"/>
      <c r="K96" s="339"/>
      <c r="L96" s="339">
        <v>3.8537499999999998</v>
      </c>
      <c r="M96" s="339">
        <v>11.507999999999999</v>
      </c>
      <c r="N96" s="338" t="s">
        <v>408</v>
      </c>
      <c r="O96" s="338" t="s">
        <v>885</v>
      </c>
      <c r="P96" s="338" t="s">
        <v>417</v>
      </c>
    </row>
    <row r="97" spans="2:16" x14ac:dyDescent="0.25">
      <c r="B97" s="336" t="s">
        <v>416</v>
      </c>
      <c r="C97" s="337">
        <v>41667</v>
      </c>
      <c r="D97" s="338" t="s">
        <v>8445</v>
      </c>
      <c r="E97" s="338" t="s">
        <v>8444</v>
      </c>
      <c r="F97" s="338" t="s">
        <v>829</v>
      </c>
      <c r="G97" s="338" t="s">
        <v>413</v>
      </c>
      <c r="H97" s="338" t="s">
        <v>425</v>
      </c>
      <c r="I97" s="338" t="s">
        <v>411</v>
      </c>
      <c r="J97" s="339"/>
      <c r="K97" s="339"/>
      <c r="L97" s="339"/>
      <c r="M97" s="339"/>
      <c r="N97" s="338"/>
      <c r="O97" s="338" t="s">
        <v>443</v>
      </c>
      <c r="P97" s="338" t="s">
        <v>410</v>
      </c>
    </row>
    <row r="98" spans="2:16" x14ac:dyDescent="0.25">
      <c r="B98" s="336" t="s">
        <v>459</v>
      </c>
      <c r="C98" s="337">
        <v>41667</v>
      </c>
      <c r="D98" s="338" t="s">
        <v>7805</v>
      </c>
      <c r="E98" s="338" t="s">
        <v>8443</v>
      </c>
      <c r="F98" s="338"/>
      <c r="G98" s="338">
        <v>12</v>
      </c>
      <c r="H98" s="338" t="s">
        <v>425</v>
      </c>
      <c r="I98" s="338" t="s">
        <v>411</v>
      </c>
      <c r="J98" s="339"/>
      <c r="K98" s="339"/>
      <c r="L98" s="339" t="s">
        <v>409</v>
      </c>
      <c r="M98" s="339" t="s">
        <v>409</v>
      </c>
      <c r="N98" s="338" t="s">
        <v>417</v>
      </c>
      <c r="O98" s="338" t="s">
        <v>409</v>
      </c>
      <c r="P98" s="338"/>
    </row>
    <row r="99" spans="2:16" x14ac:dyDescent="0.25">
      <c r="B99" s="336" t="s">
        <v>459</v>
      </c>
      <c r="C99" s="337">
        <v>41666</v>
      </c>
      <c r="D99" s="338" t="s">
        <v>8442</v>
      </c>
      <c r="E99" s="338" t="s">
        <v>7247</v>
      </c>
      <c r="F99" s="338"/>
      <c r="G99" s="338" t="s">
        <v>413</v>
      </c>
      <c r="H99" s="338" t="s">
        <v>412</v>
      </c>
      <c r="I99" s="338" t="s">
        <v>411</v>
      </c>
      <c r="J99" s="339"/>
      <c r="K99" s="339"/>
      <c r="L99" s="339" t="s">
        <v>409</v>
      </c>
      <c r="M99" s="339" t="s">
        <v>409</v>
      </c>
      <c r="N99" s="338" t="s">
        <v>417</v>
      </c>
      <c r="O99" s="338" t="s">
        <v>409</v>
      </c>
      <c r="P99" s="338" t="s">
        <v>417</v>
      </c>
    </row>
    <row r="100" spans="2:16" x14ac:dyDescent="0.25">
      <c r="B100" s="336" t="s">
        <v>541</v>
      </c>
      <c r="C100" s="337">
        <v>41666</v>
      </c>
      <c r="D100" s="338" t="s">
        <v>8343</v>
      </c>
      <c r="E100" s="338" t="s">
        <v>539</v>
      </c>
      <c r="F100" s="338" t="s">
        <v>8342</v>
      </c>
      <c r="G100" s="338" t="s">
        <v>413</v>
      </c>
      <c r="H100" s="338"/>
      <c r="I100" s="338" t="s">
        <v>1243</v>
      </c>
      <c r="J100" s="339"/>
      <c r="K100" s="339"/>
      <c r="L100" s="339">
        <v>497.00900000000001</v>
      </c>
      <c r="M100" s="339"/>
      <c r="N100" s="338" t="s">
        <v>605</v>
      </c>
      <c r="O100" s="338" t="s">
        <v>417</v>
      </c>
      <c r="P100" s="338" t="s">
        <v>409</v>
      </c>
    </row>
    <row r="101" spans="2:16" x14ac:dyDescent="0.25">
      <c r="B101" s="336" t="s">
        <v>416</v>
      </c>
      <c r="C101" s="337">
        <v>41666</v>
      </c>
      <c r="D101" s="338" t="s">
        <v>8441</v>
      </c>
      <c r="E101" s="338" t="s">
        <v>8440</v>
      </c>
      <c r="F101" s="338"/>
      <c r="G101" s="338" t="s">
        <v>413</v>
      </c>
      <c r="H101" s="338" t="s">
        <v>425</v>
      </c>
      <c r="I101" s="338" t="s">
        <v>411</v>
      </c>
      <c r="J101" s="339"/>
      <c r="K101" s="339"/>
      <c r="L101" s="339" t="s">
        <v>409</v>
      </c>
      <c r="M101" s="339" t="s">
        <v>409</v>
      </c>
      <c r="N101" s="338"/>
      <c r="O101" s="338" t="s">
        <v>409</v>
      </c>
      <c r="P101" s="338" t="s">
        <v>417</v>
      </c>
    </row>
    <row r="102" spans="2:16" x14ac:dyDescent="0.25">
      <c r="B102" s="336" t="s">
        <v>459</v>
      </c>
      <c r="C102" s="337">
        <v>41666</v>
      </c>
      <c r="D102" s="338" t="s">
        <v>8439</v>
      </c>
      <c r="E102" s="338" t="s">
        <v>7262</v>
      </c>
      <c r="F102" s="338"/>
      <c r="G102" s="338" t="s">
        <v>413</v>
      </c>
      <c r="H102" s="338" t="s">
        <v>425</v>
      </c>
      <c r="I102" s="338" t="s">
        <v>411</v>
      </c>
      <c r="J102" s="339"/>
      <c r="K102" s="339"/>
      <c r="L102" s="339" t="s">
        <v>409</v>
      </c>
      <c r="M102" s="339" t="s">
        <v>409</v>
      </c>
      <c r="N102" s="338" t="s">
        <v>417</v>
      </c>
      <c r="O102" s="338" t="s">
        <v>409</v>
      </c>
      <c r="P102" s="338" t="s">
        <v>417</v>
      </c>
    </row>
    <row r="103" spans="2:16" x14ac:dyDescent="0.25">
      <c r="B103" s="336" t="s">
        <v>416</v>
      </c>
      <c r="C103" s="337">
        <v>41666</v>
      </c>
      <c r="D103" s="338" t="s">
        <v>4945</v>
      </c>
      <c r="E103" s="338" t="s">
        <v>2500</v>
      </c>
      <c r="F103" s="338" t="s">
        <v>8438</v>
      </c>
      <c r="G103" s="338" t="s">
        <v>413</v>
      </c>
      <c r="H103" s="338" t="s">
        <v>425</v>
      </c>
      <c r="I103" s="338" t="s">
        <v>411</v>
      </c>
      <c r="J103" s="339"/>
      <c r="K103" s="339"/>
      <c r="L103" s="339"/>
      <c r="M103" s="339"/>
      <c r="N103" s="338" t="s">
        <v>417</v>
      </c>
      <c r="O103" s="338" t="s">
        <v>443</v>
      </c>
      <c r="P103" s="338" t="s">
        <v>443</v>
      </c>
    </row>
    <row r="104" spans="2:16" x14ac:dyDescent="0.25">
      <c r="B104" s="336" t="s">
        <v>416</v>
      </c>
      <c r="C104" s="337">
        <v>41663</v>
      </c>
      <c r="D104" s="338" t="s">
        <v>2000</v>
      </c>
      <c r="E104" s="338" t="s">
        <v>1244</v>
      </c>
      <c r="F104" s="338" t="s">
        <v>1591</v>
      </c>
      <c r="G104" s="338" t="s">
        <v>413</v>
      </c>
      <c r="H104" s="338" t="s">
        <v>425</v>
      </c>
      <c r="I104" s="338" t="s">
        <v>1243</v>
      </c>
      <c r="J104" s="339">
        <v>0.93176899999999996</v>
      </c>
      <c r="K104" s="339">
        <v>7.6324300000000003</v>
      </c>
      <c r="L104" s="339"/>
      <c r="M104" s="339"/>
      <c r="N104" s="338" t="s">
        <v>417</v>
      </c>
      <c r="O104" s="338" t="s">
        <v>443</v>
      </c>
      <c r="P104" s="338" t="s">
        <v>443</v>
      </c>
    </row>
    <row r="105" spans="2:16" x14ac:dyDescent="0.25">
      <c r="B105" s="336" t="s">
        <v>459</v>
      </c>
      <c r="C105" s="337">
        <v>41663</v>
      </c>
      <c r="D105" s="338" t="s">
        <v>8437</v>
      </c>
      <c r="E105" s="338" t="s">
        <v>3032</v>
      </c>
      <c r="F105" s="338"/>
      <c r="G105" s="338">
        <v>390</v>
      </c>
      <c r="H105" s="338" t="s">
        <v>425</v>
      </c>
      <c r="I105" s="338" t="s">
        <v>1243</v>
      </c>
      <c r="J105" s="339"/>
      <c r="K105" s="339"/>
      <c r="L105" s="339" t="s">
        <v>409</v>
      </c>
      <c r="M105" s="339" t="s">
        <v>409</v>
      </c>
      <c r="N105" s="338" t="s">
        <v>410</v>
      </c>
      <c r="O105" s="338" t="s">
        <v>409</v>
      </c>
      <c r="P105" s="338" t="s">
        <v>443</v>
      </c>
    </row>
    <row r="106" spans="2:16" x14ac:dyDescent="0.25">
      <c r="B106" s="336" t="s">
        <v>416</v>
      </c>
      <c r="C106" s="337">
        <v>41662</v>
      </c>
      <c r="D106" s="338" t="s">
        <v>8436</v>
      </c>
      <c r="E106" s="338" t="s">
        <v>6051</v>
      </c>
      <c r="F106" s="338"/>
      <c r="G106" s="338" t="s">
        <v>413</v>
      </c>
      <c r="H106" s="338" t="s">
        <v>412</v>
      </c>
      <c r="I106" s="338" t="s">
        <v>411</v>
      </c>
      <c r="J106" s="339"/>
      <c r="K106" s="339"/>
      <c r="L106" s="339" t="s">
        <v>409</v>
      </c>
      <c r="M106" s="339" t="s">
        <v>409</v>
      </c>
      <c r="N106" s="338" t="s">
        <v>432</v>
      </c>
      <c r="O106" s="338" t="s">
        <v>409</v>
      </c>
      <c r="P106" s="338" t="s">
        <v>417</v>
      </c>
    </row>
    <row r="107" spans="2:16" x14ac:dyDescent="0.25">
      <c r="B107" s="336" t="s">
        <v>416</v>
      </c>
      <c r="C107" s="337">
        <v>41662</v>
      </c>
      <c r="D107" s="338" t="s">
        <v>8435</v>
      </c>
      <c r="E107" s="338" t="s">
        <v>8434</v>
      </c>
      <c r="F107" s="338" t="s">
        <v>8433</v>
      </c>
      <c r="G107" s="338">
        <v>102.2</v>
      </c>
      <c r="H107" s="338" t="s">
        <v>425</v>
      </c>
      <c r="I107" s="338" t="s">
        <v>1243</v>
      </c>
      <c r="J107" s="339"/>
      <c r="K107" s="339"/>
      <c r="L107" s="339"/>
      <c r="M107" s="339"/>
      <c r="N107" s="338"/>
      <c r="O107" s="338" t="s">
        <v>417</v>
      </c>
      <c r="P107" s="338" t="s">
        <v>432</v>
      </c>
    </row>
    <row r="108" spans="2:16" x14ac:dyDescent="0.25">
      <c r="B108" s="336" t="s">
        <v>416</v>
      </c>
      <c r="C108" s="337">
        <v>41662</v>
      </c>
      <c r="D108" s="338" t="s">
        <v>8432</v>
      </c>
      <c r="E108" s="338" t="s">
        <v>831</v>
      </c>
      <c r="F108" s="338" t="s">
        <v>8431</v>
      </c>
      <c r="G108" s="338" t="s">
        <v>413</v>
      </c>
      <c r="H108" s="338" t="s">
        <v>425</v>
      </c>
      <c r="I108" s="338" t="s">
        <v>411</v>
      </c>
      <c r="J108" s="339"/>
      <c r="K108" s="339"/>
      <c r="L108" s="339"/>
      <c r="M108" s="339"/>
      <c r="N108" s="338"/>
      <c r="O108" s="338" t="s">
        <v>417</v>
      </c>
      <c r="P108" s="338" t="s">
        <v>417</v>
      </c>
    </row>
    <row r="109" spans="2:16" x14ac:dyDescent="0.25">
      <c r="B109" s="336" t="s">
        <v>416</v>
      </c>
      <c r="C109" s="337">
        <v>41662</v>
      </c>
      <c r="D109" s="338" t="s">
        <v>6155</v>
      </c>
      <c r="E109" s="338" t="s">
        <v>8430</v>
      </c>
      <c r="F109" s="338"/>
      <c r="G109" s="338" t="s">
        <v>413</v>
      </c>
      <c r="H109" s="338" t="s">
        <v>412</v>
      </c>
      <c r="I109" s="338" t="s">
        <v>411</v>
      </c>
      <c r="J109" s="339"/>
      <c r="K109" s="339"/>
      <c r="L109" s="339" t="s">
        <v>409</v>
      </c>
      <c r="M109" s="339" t="s">
        <v>409</v>
      </c>
      <c r="N109" s="338" t="s">
        <v>417</v>
      </c>
      <c r="O109" s="338" t="s">
        <v>409</v>
      </c>
      <c r="P109" s="338" t="s">
        <v>417</v>
      </c>
    </row>
    <row r="110" spans="2:16" x14ac:dyDescent="0.25">
      <c r="B110" s="336" t="s">
        <v>416</v>
      </c>
      <c r="C110" s="337">
        <v>41662</v>
      </c>
      <c r="D110" s="338" t="s">
        <v>8429</v>
      </c>
      <c r="E110" s="338" t="s">
        <v>8428</v>
      </c>
      <c r="F110" s="338"/>
      <c r="G110" s="338" t="s">
        <v>413</v>
      </c>
      <c r="H110" s="338" t="s">
        <v>425</v>
      </c>
      <c r="I110" s="338" t="s">
        <v>411</v>
      </c>
      <c r="J110" s="339"/>
      <c r="K110" s="339"/>
      <c r="L110" s="339" t="s">
        <v>409</v>
      </c>
      <c r="M110" s="339" t="s">
        <v>409</v>
      </c>
      <c r="N110" s="338"/>
      <c r="O110" s="338" t="s">
        <v>409</v>
      </c>
      <c r="P110" s="338" t="s">
        <v>417</v>
      </c>
    </row>
    <row r="111" spans="2:16" x14ac:dyDescent="0.25">
      <c r="B111" s="336" t="s">
        <v>416</v>
      </c>
      <c r="C111" s="337">
        <v>41660</v>
      </c>
      <c r="D111" s="338" t="s">
        <v>8427</v>
      </c>
      <c r="E111" s="338" t="s">
        <v>8307</v>
      </c>
      <c r="F111" s="338"/>
      <c r="G111" s="338" t="s">
        <v>413</v>
      </c>
      <c r="H111" s="338" t="s">
        <v>412</v>
      </c>
      <c r="I111" s="338" t="s">
        <v>1243</v>
      </c>
      <c r="J111" s="339"/>
      <c r="K111" s="339"/>
      <c r="L111" s="339" t="s">
        <v>409</v>
      </c>
      <c r="M111" s="339" t="s">
        <v>409</v>
      </c>
      <c r="N111" s="338" t="s">
        <v>408</v>
      </c>
      <c r="O111" s="338" t="s">
        <v>409</v>
      </c>
      <c r="P111" s="338" t="s">
        <v>417</v>
      </c>
    </row>
    <row r="112" spans="2:16" x14ac:dyDescent="0.25">
      <c r="B112" s="336" t="s">
        <v>416</v>
      </c>
      <c r="C112" s="337">
        <v>41660</v>
      </c>
      <c r="D112" s="338" t="s">
        <v>6644</v>
      </c>
      <c r="E112" s="338" t="s">
        <v>8426</v>
      </c>
      <c r="F112" s="338" t="s">
        <v>1812</v>
      </c>
      <c r="G112" s="338" t="s">
        <v>413</v>
      </c>
      <c r="H112" s="338" t="s">
        <v>412</v>
      </c>
      <c r="I112" s="338" t="s">
        <v>1243</v>
      </c>
      <c r="J112" s="339"/>
      <c r="K112" s="339"/>
      <c r="L112" s="339">
        <v>0.162331</v>
      </c>
      <c r="M112" s="339">
        <v>3.4231199999999999</v>
      </c>
      <c r="N112" s="338" t="s">
        <v>605</v>
      </c>
      <c r="O112" s="338" t="s">
        <v>417</v>
      </c>
      <c r="P112" s="338" t="s">
        <v>605</v>
      </c>
    </row>
    <row r="113" spans="2:16" x14ac:dyDescent="0.25">
      <c r="B113" s="336" t="s">
        <v>416</v>
      </c>
      <c r="C113" s="337">
        <v>41656</v>
      </c>
      <c r="D113" s="338" t="s">
        <v>8425</v>
      </c>
      <c r="E113" s="338" t="s">
        <v>8424</v>
      </c>
      <c r="F113" s="338"/>
      <c r="G113" s="338" t="s">
        <v>413</v>
      </c>
      <c r="H113" s="338" t="s">
        <v>412</v>
      </c>
      <c r="I113" s="338" t="s">
        <v>411</v>
      </c>
      <c r="J113" s="339"/>
      <c r="K113" s="339"/>
      <c r="L113" s="339" t="s">
        <v>409</v>
      </c>
      <c r="M113" s="339" t="s">
        <v>409</v>
      </c>
      <c r="N113" s="338" t="s">
        <v>417</v>
      </c>
      <c r="O113" s="338" t="s">
        <v>409</v>
      </c>
      <c r="P113" s="338" t="s">
        <v>410</v>
      </c>
    </row>
    <row r="114" spans="2:16" x14ac:dyDescent="0.25">
      <c r="B114" s="336" t="s">
        <v>416</v>
      </c>
      <c r="C114" s="337">
        <v>41655</v>
      </c>
      <c r="D114" s="338" t="s">
        <v>3178</v>
      </c>
      <c r="E114" s="338" t="s">
        <v>1708</v>
      </c>
      <c r="F114" s="338"/>
      <c r="G114" s="338">
        <v>1296.54</v>
      </c>
      <c r="H114" s="338" t="s">
        <v>425</v>
      </c>
      <c r="I114" s="338" t="s">
        <v>411</v>
      </c>
      <c r="J114" s="339">
        <v>1.38489</v>
      </c>
      <c r="K114" s="339">
        <v>6.8740100000000002</v>
      </c>
      <c r="L114" s="339" t="s">
        <v>409</v>
      </c>
      <c r="M114" s="339" t="s">
        <v>409</v>
      </c>
      <c r="N114" s="338" t="s">
        <v>417</v>
      </c>
      <c r="O114" s="338" t="s">
        <v>409</v>
      </c>
      <c r="P114" s="338" t="s">
        <v>443</v>
      </c>
    </row>
    <row r="115" spans="2:16" x14ac:dyDescent="0.25">
      <c r="B115" s="336" t="s">
        <v>416</v>
      </c>
      <c r="C115" s="337">
        <v>41654</v>
      </c>
      <c r="D115" s="338" t="s">
        <v>7449</v>
      </c>
      <c r="E115" s="338" t="s">
        <v>8153</v>
      </c>
      <c r="F115" s="338"/>
      <c r="G115" s="338" t="s">
        <v>413</v>
      </c>
      <c r="H115" s="338" t="s">
        <v>412</v>
      </c>
      <c r="I115" s="338" t="s">
        <v>8150</v>
      </c>
      <c r="J115" s="339">
        <v>0.21373900000000001</v>
      </c>
      <c r="K115" s="339"/>
      <c r="L115" s="339" t="s">
        <v>409</v>
      </c>
      <c r="M115" s="339" t="s">
        <v>409</v>
      </c>
      <c r="N115" s="338" t="s">
        <v>417</v>
      </c>
      <c r="O115" s="338" t="s">
        <v>409</v>
      </c>
      <c r="P115" s="338"/>
    </row>
    <row r="116" spans="2:16" x14ac:dyDescent="0.25">
      <c r="B116" s="336" t="s">
        <v>459</v>
      </c>
      <c r="C116" s="337">
        <v>41653</v>
      </c>
      <c r="D116" s="338" t="s">
        <v>8423</v>
      </c>
      <c r="E116" s="338" t="s">
        <v>8422</v>
      </c>
      <c r="F116" s="338"/>
      <c r="G116" s="338">
        <v>1.19</v>
      </c>
      <c r="H116" s="338" t="s">
        <v>425</v>
      </c>
      <c r="I116" s="338" t="s">
        <v>411</v>
      </c>
      <c r="J116" s="339"/>
      <c r="K116" s="339"/>
      <c r="L116" s="339" t="s">
        <v>409</v>
      </c>
      <c r="M116" s="339" t="s">
        <v>409</v>
      </c>
      <c r="N116" s="338" t="s">
        <v>605</v>
      </c>
      <c r="O116" s="338" t="s">
        <v>409</v>
      </c>
      <c r="P116" s="338"/>
    </row>
    <row r="117" spans="2:16" x14ac:dyDescent="0.25">
      <c r="B117" s="336" t="s">
        <v>416</v>
      </c>
      <c r="C117" s="337">
        <v>41652</v>
      </c>
      <c r="D117" s="338" t="s">
        <v>8421</v>
      </c>
      <c r="E117" s="338" t="s">
        <v>8420</v>
      </c>
      <c r="F117" s="338" t="s">
        <v>475</v>
      </c>
      <c r="G117" s="338">
        <v>11</v>
      </c>
      <c r="H117" s="338" t="s">
        <v>418</v>
      </c>
      <c r="I117" s="338" t="s">
        <v>411</v>
      </c>
      <c r="J117" s="339"/>
      <c r="K117" s="339"/>
      <c r="L117" s="339">
        <v>0.61697900000000006</v>
      </c>
      <c r="M117" s="339">
        <v>12.9344</v>
      </c>
      <c r="N117" s="338" t="s">
        <v>417</v>
      </c>
      <c r="O117" s="338" t="s">
        <v>417</v>
      </c>
      <c r="P117" s="338" t="s">
        <v>432</v>
      </c>
    </row>
    <row r="118" spans="2:16" x14ac:dyDescent="0.25">
      <c r="B118" s="336" t="s">
        <v>542</v>
      </c>
      <c r="C118" s="337">
        <v>41652</v>
      </c>
      <c r="D118" s="338" t="s">
        <v>1249</v>
      </c>
      <c r="E118" s="338" t="s">
        <v>539</v>
      </c>
      <c r="F118" s="338"/>
      <c r="G118" s="338">
        <v>275</v>
      </c>
      <c r="H118" s="338"/>
      <c r="I118" s="338" t="s">
        <v>1243</v>
      </c>
      <c r="J118" s="339">
        <v>1.74013</v>
      </c>
      <c r="K118" s="339">
        <v>11.651400000000001</v>
      </c>
      <c r="L118" s="339" t="s">
        <v>409</v>
      </c>
      <c r="M118" s="339" t="s">
        <v>409</v>
      </c>
      <c r="N118" s="338" t="s">
        <v>417</v>
      </c>
      <c r="O118" s="338" t="s">
        <v>409</v>
      </c>
      <c r="P118" s="338" t="s">
        <v>417</v>
      </c>
    </row>
    <row r="119" spans="2:16" x14ac:dyDescent="0.25">
      <c r="B119" s="336" t="s">
        <v>416</v>
      </c>
      <c r="C119" s="337">
        <v>41652</v>
      </c>
      <c r="D119" s="338" t="s">
        <v>8419</v>
      </c>
      <c r="E119" s="338" t="s">
        <v>8418</v>
      </c>
      <c r="F119" s="338"/>
      <c r="G119" s="338" t="s">
        <v>413</v>
      </c>
      <c r="H119" s="338" t="s">
        <v>425</v>
      </c>
      <c r="I119" s="338" t="s">
        <v>411</v>
      </c>
      <c r="J119" s="339"/>
      <c r="K119" s="339"/>
      <c r="L119" s="339" t="s">
        <v>409</v>
      </c>
      <c r="M119" s="339" t="s">
        <v>409</v>
      </c>
      <c r="N119" s="338" t="s">
        <v>417</v>
      </c>
      <c r="O119" s="338" t="s">
        <v>409</v>
      </c>
      <c r="P119" s="338" t="s">
        <v>417</v>
      </c>
    </row>
    <row r="120" spans="2:16" x14ac:dyDescent="0.25">
      <c r="B120" s="336" t="s">
        <v>416</v>
      </c>
      <c r="C120" s="337">
        <v>41652</v>
      </c>
      <c r="D120" s="338" t="s">
        <v>8417</v>
      </c>
      <c r="E120" s="338" t="s">
        <v>8416</v>
      </c>
      <c r="F120" s="338" t="s">
        <v>8415</v>
      </c>
      <c r="G120" s="338" t="s">
        <v>413</v>
      </c>
      <c r="H120" s="338" t="s">
        <v>412</v>
      </c>
      <c r="I120" s="338" t="s">
        <v>1243</v>
      </c>
      <c r="J120" s="339"/>
      <c r="K120" s="339"/>
      <c r="L120" s="339"/>
      <c r="M120" s="339"/>
      <c r="N120" s="338" t="s">
        <v>417</v>
      </c>
      <c r="O120" s="338" t="s">
        <v>410</v>
      </c>
      <c r="P120" s="338" t="s">
        <v>410</v>
      </c>
    </row>
    <row r="121" spans="2:16" x14ac:dyDescent="0.25">
      <c r="B121" s="336" t="s">
        <v>416</v>
      </c>
      <c r="C121" s="337">
        <v>41652</v>
      </c>
      <c r="D121" s="338" t="s">
        <v>8414</v>
      </c>
      <c r="E121" s="338" t="s">
        <v>8413</v>
      </c>
      <c r="F121" s="338"/>
      <c r="G121" s="338" t="s">
        <v>413</v>
      </c>
      <c r="H121" s="338" t="s">
        <v>425</v>
      </c>
      <c r="I121" s="338" t="s">
        <v>411</v>
      </c>
      <c r="J121" s="339"/>
      <c r="K121" s="339"/>
      <c r="L121" s="339" t="s">
        <v>409</v>
      </c>
      <c r="M121" s="339" t="s">
        <v>409</v>
      </c>
      <c r="N121" s="338"/>
      <c r="O121" s="338" t="s">
        <v>409</v>
      </c>
      <c r="P121" s="338" t="s">
        <v>443</v>
      </c>
    </row>
    <row r="122" spans="2:16" x14ac:dyDescent="0.25">
      <c r="B122" s="336" t="s">
        <v>416</v>
      </c>
      <c r="C122" s="337">
        <v>41649</v>
      </c>
      <c r="D122" s="338" t="s">
        <v>8412</v>
      </c>
      <c r="E122" s="338" t="s">
        <v>8411</v>
      </c>
      <c r="F122" s="338"/>
      <c r="G122" s="338" t="s">
        <v>413</v>
      </c>
      <c r="H122" s="338" t="s">
        <v>425</v>
      </c>
      <c r="I122" s="338" t="s">
        <v>411</v>
      </c>
      <c r="J122" s="339"/>
      <c r="K122" s="339"/>
      <c r="L122" s="339" t="s">
        <v>409</v>
      </c>
      <c r="M122" s="339" t="s">
        <v>409</v>
      </c>
      <c r="N122" s="338" t="s">
        <v>417</v>
      </c>
      <c r="O122" s="338" t="s">
        <v>409</v>
      </c>
      <c r="P122" s="338" t="s">
        <v>410</v>
      </c>
    </row>
    <row r="123" spans="2:16" x14ac:dyDescent="0.25">
      <c r="B123" s="336" t="s">
        <v>416</v>
      </c>
      <c r="C123" s="337">
        <v>41649</v>
      </c>
      <c r="D123" s="338" t="s">
        <v>8410</v>
      </c>
      <c r="E123" s="338" t="s">
        <v>7919</v>
      </c>
      <c r="F123" s="338"/>
      <c r="G123" s="338" t="s">
        <v>413</v>
      </c>
      <c r="H123" s="338" t="s">
        <v>412</v>
      </c>
      <c r="I123" s="338" t="s">
        <v>411</v>
      </c>
      <c r="J123" s="339"/>
      <c r="K123" s="339"/>
      <c r="L123" s="339" t="s">
        <v>409</v>
      </c>
      <c r="M123" s="339" t="s">
        <v>409</v>
      </c>
      <c r="N123" s="338" t="s">
        <v>417</v>
      </c>
      <c r="O123" s="338" t="s">
        <v>409</v>
      </c>
      <c r="P123" s="338" t="s">
        <v>417</v>
      </c>
    </row>
    <row r="124" spans="2:16" x14ac:dyDescent="0.25">
      <c r="B124" s="336" t="s">
        <v>416</v>
      </c>
      <c r="C124" s="337">
        <v>41648</v>
      </c>
      <c r="D124" s="338" t="s">
        <v>3876</v>
      </c>
      <c r="E124" s="338" t="s">
        <v>8409</v>
      </c>
      <c r="F124" s="338" t="s">
        <v>3875</v>
      </c>
      <c r="G124" s="338" t="s">
        <v>413</v>
      </c>
      <c r="H124" s="338" t="s">
        <v>425</v>
      </c>
      <c r="I124" s="338" t="s">
        <v>411</v>
      </c>
      <c r="J124" s="339"/>
      <c r="K124" s="339"/>
      <c r="L124" s="339"/>
      <c r="M124" s="339"/>
      <c r="N124" s="338" t="s">
        <v>417</v>
      </c>
      <c r="O124" s="338" t="s">
        <v>443</v>
      </c>
      <c r="P124" s="338"/>
    </row>
    <row r="125" spans="2:16" x14ac:dyDescent="0.25">
      <c r="B125" s="336" t="s">
        <v>459</v>
      </c>
      <c r="C125" s="337">
        <v>41648</v>
      </c>
      <c r="D125" s="338" t="s">
        <v>8408</v>
      </c>
      <c r="E125" s="338" t="s">
        <v>669</v>
      </c>
      <c r="F125" s="338"/>
      <c r="G125" s="338">
        <v>1.5</v>
      </c>
      <c r="H125" s="338" t="s">
        <v>425</v>
      </c>
      <c r="I125" s="338" t="s">
        <v>411</v>
      </c>
      <c r="J125" s="339"/>
      <c r="K125" s="339"/>
      <c r="L125" s="339" t="s">
        <v>409</v>
      </c>
      <c r="M125" s="339" t="s">
        <v>409</v>
      </c>
      <c r="N125" s="338" t="s">
        <v>605</v>
      </c>
      <c r="O125" s="338" t="s">
        <v>409</v>
      </c>
      <c r="P125" s="338"/>
    </row>
    <row r="126" spans="2:16" x14ac:dyDescent="0.25">
      <c r="B126" s="336" t="s">
        <v>416</v>
      </c>
      <c r="C126" s="337">
        <v>41648</v>
      </c>
      <c r="D126" s="338" t="s">
        <v>8407</v>
      </c>
      <c r="E126" s="338" t="s">
        <v>8406</v>
      </c>
      <c r="F126" s="338"/>
      <c r="G126" s="338" t="s">
        <v>413</v>
      </c>
      <c r="H126" s="338" t="s">
        <v>412</v>
      </c>
      <c r="I126" s="338" t="s">
        <v>411</v>
      </c>
      <c r="J126" s="339"/>
      <c r="K126" s="339"/>
      <c r="L126" s="339" t="s">
        <v>409</v>
      </c>
      <c r="M126" s="339" t="s">
        <v>409</v>
      </c>
      <c r="N126" s="338" t="s">
        <v>417</v>
      </c>
      <c r="O126" s="338" t="s">
        <v>409</v>
      </c>
      <c r="P126" s="338" t="s">
        <v>432</v>
      </c>
    </row>
    <row r="127" spans="2:16" x14ac:dyDescent="0.25">
      <c r="B127" s="336" t="s">
        <v>416</v>
      </c>
      <c r="C127" s="337">
        <v>41646</v>
      </c>
      <c r="D127" s="338" t="s">
        <v>8405</v>
      </c>
      <c r="E127" s="338" t="s">
        <v>8404</v>
      </c>
      <c r="F127" s="338"/>
      <c r="G127" s="338" t="s">
        <v>413</v>
      </c>
      <c r="H127" s="338" t="s">
        <v>425</v>
      </c>
      <c r="I127" s="338" t="s">
        <v>411</v>
      </c>
      <c r="J127" s="339"/>
      <c r="K127" s="339"/>
      <c r="L127" s="339" t="s">
        <v>409</v>
      </c>
      <c r="M127" s="339" t="s">
        <v>409</v>
      </c>
      <c r="N127" s="338" t="s">
        <v>417</v>
      </c>
      <c r="O127" s="338" t="s">
        <v>409</v>
      </c>
      <c r="P127" s="338"/>
    </row>
    <row r="128" spans="2:16" x14ac:dyDescent="0.25">
      <c r="B128" s="336" t="s">
        <v>416</v>
      </c>
      <c r="C128" s="337">
        <v>41646</v>
      </c>
      <c r="D128" s="338" t="s">
        <v>8403</v>
      </c>
      <c r="E128" s="338" t="s">
        <v>8402</v>
      </c>
      <c r="F128" s="338"/>
      <c r="G128" s="338" t="s">
        <v>413</v>
      </c>
      <c r="H128" s="338" t="s">
        <v>336</v>
      </c>
      <c r="I128" s="338" t="s">
        <v>1243</v>
      </c>
      <c r="J128" s="339"/>
      <c r="K128" s="339"/>
      <c r="L128" s="339" t="s">
        <v>409</v>
      </c>
      <c r="M128" s="339" t="s">
        <v>409</v>
      </c>
      <c r="N128" s="338" t="s">
        <v>417</v>
      </c>
      <c r="O128" s="338" t="s">
        <v>409</v>
      </c>
      <c r="P128" s="338" t="s">
        <v>410</v>
      </c>
    </row>
    <row r="129" spans="2:16" x14ac:dyDescent="0.25">
      <c r="B129" s="336" t="s">
        <v>416</v>
      </c>
      <c r="C129" s="337">
        <v>41646</v>
      </c>
      <c r="D129" s="338" t="s">
        <v>8401</v>
      </c>
      <c r="E129" s="338" t="s">
        <v>514</v>
      </c>
      <c r="F129" s="338"/>
      <c r="G129" s="338" t="s">
        <v>413</v>
      </c>
      <c r="H129" s="338" t="s">
        <v>412</v>
      </c>
      <c r="I129" s="338" t="s">
        <v>411</v>
      </c>
      <c r="J129" s="339"/>
      <c r="K129" s="339"/>
      <c r="L129" s="339" t="s">
        <v>409</v>
      </c>
      <c r="M129" s="339" t="s">
        <v>409</v>
      </c>
      <c r="N129" s="338" t="s">
        <v>417</v>
      </c>
      <c r="O129" s="338" t="s">
        <v>409</v>
      </c>
      <c r="P129" s="338"/>
    </row>
    <row r="130" spans="2:16" x14ac:dyDescent="0.25">
      <c r="B130" s="336" t="s">
        <v>459</v>
      </c>
      <c r="C130" s="337">
        <v>41646</v>
      </c>
      <c r="D130" s="338" t="s">
        <v>8400</v>
      </c>
      <c r="E130" s="338" t="s">
        <v>479</v>
      </c>
      <c r="F130" s="338"/>
      <c r="G130" s="338" t="s">
        <v>413</v>
      </c>
      <c r="H130" s="338" t="s">
        <v>425</v>
      </c>
      <c r="I130" s="338" t="s">
        <v>411</v>
      </c>
      <c r="J130" s="339"/>
      <c r="K130" s="339"/>
      <c r="L130" s="339" t="s">
        <v>409</v>
      </c>
      <c r="M130" s="339" t="s">
        <v>409</v>
      </c>
      <c r="N130" s="338" t="s">
        <v>417</v>
      </c>
      <c r="O130" s="338" t="s">
        <v>409</v>
      </c>
      <c r="P130" s="338" t="s">
        <v>443</v>
      </c>
    </row>
    <row r="131" spans="2:16" x14ac:dyDescent="0.25">
      <c r="B131" s="336" t="s">
        <v>459</v>
      </c>
      <c r="C131" s="337">
        <v>41645</v>
      </c>
      <c r="D131" s="338" t="s">
        <v>8399</v>
      </c>
      <c r="E131" s="338" t="s">
        <v>514</v>
      </c>
      <c r="F131" s="338"/>
      <c r="G131" s="338" t="s">
        <v>413</v>
      </c>
      <c r="H131" s="338" t="s">
        <v>425</v>
      </c>
      <c r="I131" s="338" t="s">
        <v>411</v>
      </c>
      <c r="J131" s="339"/>
      <c r="K131" s="339"/>
      <c r="L131" s="339" t="s">
        <v>409</v>
      </c>
      <c r="M131" s="339" t="s">
        <v>409</v>
      </c>
      <c r="N131" s="338" t="s">
        <v>417</v>
      </c>
      <c r="O131" s="338" t="s">
        <v>409</v>
      </c>
      <c r="P131" s="338"/>
    </row>
    <row r="132" spans="2:16" x14ac:dyDescent="0.25">
      <c r="B132" s="336" t="s">
        <v>416</v>
      </c>
      <c r="C132" s="337">
        <v>41645</v>
      </c>
      <c r="D132" s="338" t="s">
        <v>8398</v>
      </c>
      <c r="E132" s="338" t="s">
        <v>8397</v>
      </c>
      <c r="F132" s="338"/>
      <c r="G132" s="338" t="s">
        <v>413</v>
      </c>
      <c r="H132" s="338" t="s">
        <v>412</v>
      </c>
      <c r="I132" s="338" t="s">
        <v>411</v>
      </c>
      <c r="J132" s="339"/>
      <c r="K132" s="339"/>
      <c r="L132" s="339" t="s">
        <v>409</v>
      </c>
      <c r="M132" s="339" t="s">
        <v>409</v>
      </c>
      <c r="N132" s="338" t="s">
        <v>417</v>
      </c>
      <c r="O132" s="338" t="s">
        <v>409</v>
      </c>
      <c r="P132" s="338" t="s">
        <v>417</v>
      </c>
    </row>
    <row r="133" spans="2:16" x14ac:dyDescent="0.25">
      <c r="B133" s="336" t="s">
        <v>416</v>
      </c>
      <c r="C133" s="337">
        <v>41645</v>
      </c>
      <c r="D133" s="338" t="s">
        <v>8396</v>
      </c>
      <c r="E133" s="338" t="s">
        <v>6054</v>
      </c>
      <c r="F133" s="338"/>
      <c r="G133" s="338" t="s">
        <v>413</v>
      </c>
      <c r="H133" s="338" t="s">
        <v>412</v>
      </c>
      <c r="I133" s="338" t="s">
        <v>411</v>
      </c>
      <c r="J133" s="339"/>
      <c r="K133" s="339"/>
      <c r="L133" s="339" t="s">
        <v>409</v>
      </c>
      <c r="M133" s="339" t="s">
        <v>409</v>
      </c>
      <c r="N133" s="338" t="s">
        <v>410</v>
      </c>
      <c r="O133" s="338" t="s">
        <v>409</v>
      </c>
      <c r="P133" s="338" t="s">
        <v>417</v>
      </c>
    </row>
    <row r="134" spans="2:16" x14ac:dyDescent="0.25">
      <c r="B134" s="336" t="s">
        <v>416</v>
      </c>
      <c r="C134" s="337">
        <v>41645</v>
      </c>
      <c r="D134" s="338" t="s">
        <v>8395</v>
      </c>
      <c r="E134" s="338" t="s">
        <v>2987</v>
      </c>
      <c r="F134" s="338"/>
      <c r="G134" s="338">
        <v>3.5</v>
      </c>
      <c r="H134" s="338" t="s">
        <v>425</v>
      </c>
      <c r="I134" s="338" t="s">
        <v>411</v>
      </c>
      <c r="J134" s="339"/>
      <c r="K134" s="339"/>
      <c r="L134" s="339" t="s">
        <v>409</v>
      </c>
      <c r="M134" s="339" t="s">
        <v>409</v>
      </c>
      <c r="N134" s="338"/>
      <c r="O134" s="338" t="s">
        <v>409</v>
      </c>
      <c r="P134" s="338" t="s">
        <v>417</v>
      </c>
    </row>
    <row r="135" spans="2:16" x14ac:dyDescent="0.25">
      <c r="B135" s="336" t="s">
        <v>416</v>
      </c>
      <c r="C135" s="337">
        <v>41645</v>
      </c>
      <c r="D135" s="338" t="s">
        <v>8394</v>
      </c>
      <c r="E135" s="338" t="s">
        <v>5698</v>
      </c>
      <c r="F135" s="338" t="s">
        <v>8393</v>
      </c>
      <c r="G135" s="338">
        <v>6.6</v>
      </c>
      <c r="H135" s="338" t="s">
        <v>425</v>
      </c>
      <c r="I135" s="338" t="s">
        <v>1243</v>
      </c>
      <c r="J135" s="339"/>
      <c r="K135" s="339"/>
      <c r="L135" s="339">
        <v>1.55036</v>
      </c>
      <c r="M135" s="339">
        <v>11.893700000000001</v>
      </c>
      <c r="N135" s="338"/>
      <c r="O135" s="338" t="s">
        <v>417</v>
      </c>
      <c r="P135" s="338" t="s">
        <v>443</v>
      </c>
    </row>
    <row r="136" spans="2:16" x14ac:dyDescent="0.25">
      <c r="B136" s="336" t="s">
        <v>416</v>
      </c>
      <c r="C136" s="337">
        <v>41642</v>
      </c>
      <c r="D136" s="338" t="s">
        <v>8392</v>
      </c>
      <c r="E136" s="338" t="s">
        <v>8391</v>
      </c>
      <c r="F136" s="338"/>
      <c r="G136" s="338" t="s">
        <v>413</v>
      </c>
      <c r="H136" s="338" t="s">
        <v>412</v>
      </c>
      <c r="I136" s="338" t="s">
        <v>411</v>
      </c>
      <c r="J136" s="339"/>
      <c r="K136" s="339"/>
      <c r="L136" s="339" t="s">
        <v>409</v>
      </c>
      <c r="M136" s="339" t="s">
        <v>409</v>
      </c>
      <c r="N136" s="338" t="s">
        <v>408</v>
      </c>
      <c r="O136" s="338" t="s">
        <v>409</v>
      </c>
      <c r="P136" s="338" t="s">
        <v>417</v>
      </c>
    </row>
    <row r="137" spans="2:16" x14ac:dyDescent="0.25">
      <c r="B137" s="336" t="s">
        <v>416</v>
      </c>
      <c r="C137" s="337">
        <v>41642</v>
      </c>
      <c r="D137" s="338" t="s">
        <v>8390</v>
      </c>
      <c r="E137" s="338" t="s">
        <v>6985</v>
      </c>
      <c r="F137" s="338" t="s">
        <v>6040</v>
      </c>
      <c r="G137" s="338" t="s">
        <v>413</v>
      </c>
      <c r="H137" s="338" t="s">
        <v>425</v>
      </c>
      <c r="I137" s="338" t="s">
        <v>1243</v>
      </c>
      <c r="J137" s="339"/>
      <c r="K137" s="339"/>
      <c r="L137" s="339"/>
      <c r="M137" s="339"/>
      <c r="N137" s="338"/>
      <c r="O137" s="338" t="s">
        <v>417</v>
      </c>
      <c r="P137" s="338" t="s">
        <v>417</v>
      </c>
    </row>
    <row r="138" spans="2:16" x14ac:dyDescent="0.25">
      <c r="B138" s="336" t="s">
        <v>416</v>
      </c>
      <c r="C138" s="337">
        <v>41641</v>
      </c>
      <c r="D138" s="338" t="s">
        <v>8389</v>
      </c>
      <c r="E138" s="338" t="s">
        <v>8049</v>
      </c>
      <c r="F138" s="338"/>
      <c r="G138" s="338" t="s">
        <v>413</v>
      </c>
      <c r="H138" s="338" t="s">
        <v>425</v>
      </c>
      <c r="I138" s="338" t="s">
        <v>411</v>
      </c>
      <c r="J138" s="339"/>
      <c r="K138" s="339"/>
      <c r="L138" s="339" t="s">
        <v>409</v>
      </c>
      <c r="M138" s="339" t="s">
        <v>409</v>
      </c>
      <c r="N138" s="338"/>
      <c r="O138" s="338" t="s">
        <v>409</v>
      </c>
      <c r="P138" s="338" t="s">
        <v>443</v>
      </c>
    </row>
    <row r="139" spans="2:16" x14ac:dyDescent="0.25">
      <c r="B139" s="336" t="s">
        <v>416</v>
      </c>
      <c r="C139" s="337">
        <v>41635</v>
      </c>
      <c r="D139" s="338" t="s">
        <v>8388</v>
      </c>
      <c r="E139" s="338" t="s">
        <v>8387</v>
      </c>
      <c r="F139" s="338"/>
      <c r="G139" s="338">
        <v>0.21</v>
      </c>
      <c r="H139" s="338" t="s">
        <v>425</v>
      </c>
      <c r="I139" s="338" t="s">
        <v>411</v>
      </c>
      <c r="J139" s="339"/>
      <c r="K139" s="339"/>
      <c r="L139" s="339" t="s">
        <v>409</v>
      </c>
      <c r="M139" s="339" t="s">
        <v>409</v>
      </c>
      <c r="N139" s="338" t="s">
        <v>417</v>
      </c>
      <c r="O139" s="338" t="s">
        <v>409</v>
      </c>
      <c r="P139" s="338" t="s">
        <v>417</v>
      </c>
    </row>
    <row r="140" spans="2:16" x14ac:dyDescent="0.25">
      <c r="B140" s="336" t="s">
        <v>416</v>
      </c>
      <c r="C140" s="337">
        <v>41631</v>
      </c>
      <c r="D140" s="338" t="s">
        <v>8386</v>
      </c>
      <c r="E140" s="338" t="s">
        <v>7517</v>
      </c>
      <c r="F140" s="338"/>
      <c r="G140" s="338" t="s">
        <v>413</v>
      </c>
      <c r="H140" s="338" t="s">
        <v>412</v>
      </c>
      <c r="I140" s="338" t="s">
        <v>411</v>
      </c>
      <c r="J140" s="339"/>
      <c r="K140" s="339"/>
      <c r="L140" s="339" t="s">
        <v>409</v>
      </c>
      <c r="M140" s="339" t="s">
        <v>409</v>
      </c>
      <c r="N140" s="338" t="s">
        <v>417</v>
      </c>
      <c r="O140" s="338" t="s">
        <v>409</v>
      </c>
      <c r="P140" s="338" t="s">
        <v>417</v>
      </c>
    </row>
    <row r="141" spans="2:16" x14ac:dyDescent="0.25">
      <c r="B141" s="336" t="s">
        <v>416</v>
      </c>
      <c r="C141" s="337">
        <v>41631</v>
      </c>
      <c r="D141" s="338" t="s">
        <v>2816</v>
      </c>
      <c r="E141" s="338" t="s">
        <v>8385</v>
      </c>
      <c r="F141" s="338"/>
      <c r="G141" s="338" t="s">
        <v>413</v>
      </c>
      <c r="H141" s="338" t="s">
        <v>336</v>
      </c>
      <c r="I141" s="338" t="s">
        <v>1243</v>
      </c>
      <c r="J141" s="339">
        <v>4.0664300000000004</v>
      </c>
      <c r="K141" s="339"/>
      <c r="L141" s="339" t="s">
        <v>409</v>
      </c>
      <c r="M141" s="339" t="s">
        <v>409</v>
      </c>
      <c r="N141" s="338" t="s">
        <v>417</v>
      </c>
      <c r="O141" s="338" t="s">
        <v>409</v>
      </c>
      <c r="P141" s="338" t="s">
        <v>432</v>
      </c>
    </row>
    <row r="142" spans="2:16" x14ac:dyDescent="0.25">
      <c r="B142" s="336" t="s">
        <v>416</v>
      </c>
      <c r="C142" s="337">
        <v>41631</v>
      </c>
      <c r="D142" s="338" t="s">
        <v>8384</v>
      </c>
      <c r="E142" s="338" t="s">
        <v>1322</v>
      </c>
      <c r="F142" s="338"/>
      <c r="G142" s="338" t="s">
        <v>413</v>
      </c>
      <c r="H142" s="338" t="s">
        <v>412</v>
      </c>
      <c r="I142" s="338" t="s">
        <v>1243</v>
      </c>
      <c r="J142" s="339"/>
      <c r="K142" s="339"/>
      <c r="L142" s="339" t="s">
        <v>409</v>
      </c>
      <c r="M142" s="339" t="s">
        <v>409</v>
      </c>
      <c r="N142" s="338" t="s">
        <v>417</v>
      </c>
      <c r="O142" s="338" t="s">
        <v>409</v>
      </c>
      <c r="P142" s="338" t="s">
        <v>417</v>
      </c>
    </row>
    <row r="143" spans="2:16" x14ac:dyDescent="0.25">
      <c r="B143" s="336" t="s">
        <v>459</v>
      </c>
      <c r="C143" s="337">
        <v>41628</v>
      </c>
      <c r="D143" s="338" t="s">
        <v>6364</v>
      </c>
      <c r="E143" s="338" t="s">
        <v>8383</v>
      </c>
      <c r="F143" s="338"/>
      <c r="G143" s="338">
        <v>60</v>
      </c>
      <c r="H143" s="338" t="s">
        <v>425</v>
      </c>
      <c r="I143" s="338" t="s">
        <v>411</v>
      </c>
      <c r="J143" s="339"/>
      <c r="K143" s="339"/>
      <c r="L143" s="339" t="s">
        <v>409</v>
      </c>
      <c r="M143" s="339" t="s">
        <v>409</v>
      </c>
      <c r="N143" s="338" t="s">
        <v>417</v>
      </c>
      <c r="O143" s="338" t="s">
        <v>409</v>
      </c>
      <c r="P143" s="338"/>
    </row>
    <row r="144" spans="2:16" x14ac:dyDescent="0.25">
      <c r="B144" s="336" t="s">
        <v>459</v>
      </c>
      <c r="C144" s="337">
        <v>41627</v>
      </c>
      <c r="D144" s="338" t="s">
        <v>8382</v>
      </c>
      <c r="E144" s="338" t="s">
        <v>7819</v>
      </c>
      <c r="F144" s="338"/>
      <c r="G144" s="338" t="s">
        <v>413</v>
      </c>
      <c r="H144" s="338" t="s">
        <v>412</v>
      </c>
      <c r="I144" s="338" t="s">
        <v>411</v>
      </c>
      <c r="J144" s="339"/>
      <c r="K144" s="339"/>
      <c r="L144" s="339" t="s">
        <v>409</v>
      </c>
      <c r="M144" s="339" t="s">
        <v>409</v>
      </c>
      <c r="N144" s="338" t="s">
        <v>410</v>
      </c>
      <c r="O144" s="338" t="s">
        <v>409</v>
      </c>
      <c r="P144" s="338" t="s">
        <v>417</v>
      </c>
    </row>
    <row r="145" spans="2:16" x14ac:dyDescent="0.25">
      <c r="B145" s="336" t="s">
        <v>416</v>
      </c>
      <c r="C145" s="337">
        <v>41627</v>
      </c>
      <c r="D145" s="338" t="s">
        <v>8381</v>
      </c>
      <c r="E145" s="338" t="s">
        <v>8380</v>
      </c>
      <c r="F145" s="338"/>
      <c r="G145" s="338" t="s">
        <v>413</v>
      </c>
      <c r="H145" s="338" t="s">
        <v>412</v>
      </c>
      <c r="I145" s="338" t="s">
        <v>411</v>
      </c>
      <c r="J145" s="339"/>
      <c r="K145" s="339"/>
      <c r="L145" s="339" t="s">
        <v>409</v>
      </c>
      <c r="M145" s="339" t="s">
        <v>409</v>
      </c>
      <c r="N145" s="338" t="s">
        <v>417</v>
      </c>
      <c r="O145" s="338" t="s">
        <v>409</v>
      </c>
      <c r="P145" s="338" t="s">
        <v>417</v>
      </c>
    </row>
    <row r="146" spans="2:16" x14ac:dyDescent="0.25">
      <c r="B146" s="336" t="s">
        <v>416</v>
      </c>
      <c r="C146" s="337">
        <v>41627</v>
      </c>
      <c r="D146" s="338" t="s">
        <v>8379</v>
      </c>
      <c r="E146" s="338" t="s">
        <v>8307</v>
      </c>
      <c r="F146" s="338"/>
      <c r="G146" s="338" t="s">
        <v>413</v>
      </c>
      <c r="H146" s="338" t="s">
        <v>336</v>
      </c>
      <c r="I146" s="338" t="s">
        <v>8150</v>
      </c>
      <c r="J146" s="339"/>
      <c r="K146" s="339"/>
      <c r="L146" s="339" t="s">
        <v>409</v>
      </c>
      <c r="M146" s="339" t="s">
        <v>409</v>
      </c>
      <c r="N146" s="338" t="s">
        <v>487</v>
      </c>
      <c r="O146" s="338" t="s">
        <v>409</v>
      </c>
      <c r="P146" s="338" t="s">
        <v>417</v>
      </c>
    </row>
    <row r="147" spans="2:16" x14ac:dyDescent="0.25">
      <c r="B147" s="336" t="s">
        <v>541</v>
      </c>
      <c r="C147" s="337">
        <v>41627</v>
      </c>
      <c r="D147" s="338" t="s">
        <v>8378</v>
      </c>
      <c r="E147" s="338" t="s">
        <v>539</v>
      </c>
      <c r="F147" s="338" t="s">
        <v>3627</v>
      </c>
      <c r="G147" s="338" t="s">
        <v>413</v>
      </c>
      <c r="H147" s="338"/>
      <c r="I147" s="338" t="s">
        <v>1243</v>
      </c>
      <c r="J147" s="339"/>
      <c r="K147" s="339"/>
      <c r="L147" s="339">
        <v>1.0638799999999999</v>
      </c>
      <c r="M147" s="339">
        <v>9.8536400000000004</v>
      </c>
      <c r="N147" s="338" t="s">
        <v>612</v>
      </c>
      <c r="O147" s="338" t="s">
        <v>417</v>
      </c>
      <c r="P147" s="338" t="s">
        <v>409</v>
      </c>
    </row>
    <row r="148" spans="2:16" x14ac:dyDescent="0.25">
      <c r="B148" s="336" t="s">
        <v>416</v>
      </c>
      <c r="C148" s="337">
        <v>41626</v>
      </c>
      <c r="D148" s="338" t="s">
        <v>8377</v>
      </c>
      <c r="E148" s="338" t="s">
        <v>6054</v>
      </c>
      <c r="F148" s="338" t="s">
        <v>8376</v>
      </c>
      <c r="G148" s="338" t="s">
        <v>413</v>
      </c>
      <c r="H148" s="338" t="s">
        <v>425</v>
      </c>
      <c r="I148" s="338" t="s">
        <v>411</v>
      </c>
      <c r="J148" s="339"/>
      <c r="K148" s="339"/>
      <c r="L148" s="339"/>
      <c r="M148" s="339"/>
      <c r="N148" s="338"/>
      <c r="O148" s="338" t="s">
        <v>417</v>
      </c>
      <c r="P148" s="338" t="s">
        <v>417</v>
      </c>
    </row>
    <row r="149" spans="2:16" x14ac:dyDescent="0.25">
      <c r="B149" s="336" t="s">
        <v>416</v>
      </c>
      <c r="C149" s="337">
        <v>41626</v>
      </c>
      <c r="D149" s="338" t="s">
        <v>8375</v>
      </c>
      <c r="E149" s="338" t="s">
        <v>8374</v>
      </c>
      <c r="F149" s="338" t="s">
        <v>8373</v>
      </c>
      <c r="G149" s="338" t="s">
        <v>413</v>
      </c>
      <c r="H149" s="338" t="s">
        <v>425</v>
      </c>
      <c r="I149" s="338" t="s">
        <v>411</v>
      </c>
      <c r="J149" s="339"/>
      <c r="K149" s="339"/>
      <c r="L149" s="339"/>
      <c r="M149" s="339"/>
      <c r="N149" s="338"/>
      <c r="O149" s="338" t="s">
        <v>417</v>
      </c>
      <c r="P149" s="338" t="s">
        <v>417</v>
      </c>
    </row>
    <row r="150" spans="2:16" x14ac:dyDescent="0.25">
      <c r="B150" s="336" t="s">
        <v>416</v>
      </c>
      <c r="C150" s="337">
        <v>41626</v>
      </c>
      <c r="D150" s="338" t="s">
        <v>8372</v>
      </c>
      <c r="E150" s="338" t="s">
        <v>8371</v>
      </c>
      <c r="F150" s="338"/>
      <c r="G150" s="338" t="s">
        <v>413</v>
      </c>
      <c r="H150" s="338" t="s">
        <v>412</v>
      </c>
      <c r="I150" s="338" t="s">
        <v>411</v>
      </c>
      <c r="J150" s="339"/>
      <c r="K150" s="339"/>
      <c r="L150" s="339" t="s">
        <v>409</v>
      </c>
      <c r="M150" s="339" t="s">
        <v>409</v>
      </c>
      <c r="N150" s="338" t="s">
        <v>417</v>
      </c>
      <c r="O150" s="338" t="s">
        <v>409</v>
      </c>
      <c r="P150" s="338" t="s">
        <v>417</v>
      </c>
    </row>
    <row r="151" spans="2:16" x14ac:dyDescent="0.25">
      <c r="B151" s="336" t="s">
        <v>416</v>
      </c>
      <c r="C151" s="337">
        <v>41625</v>
      </c>
      <c r="D151" s="338" t="s">
        <v>8370</v>
      </c>
      <c r="E151" s="338" t="s">
        <v>4930</v>
      </c>
      <c r="F151" s="338"/>
      <c r="G151" s="338" t="s">
        <v>413</v>
      </c>
      <c r="H151" s="338" t="s">
        <v>425</v>
      </c>
      <c r="I151" s="338" t="s">
        <v>411</v>
      </c>
      <c r="J151" s="339"/>
      <c r="K151" s="339"/>
      <c r="L151" s="339" t="s">
        <v>409</v>
      </c>
      <c r="M151" s="339" t="s">
        <v>409</v>
      </c>
      <c r="N151" s="338"/>
      <c r="O151" s="338" t="s">
        <v>409</v>
      </c>
      <c r="P151" s="338" t="s">
        <v>417</v>
      </c>
    </row>
    <row r="152" spans="2:16" x14ac:dyDescent="0.25">
      <c r="B152" s="336" t="s">
        <v>416</v>
      </c>
      <c r="C152" s="337">
        <v>41624</v>
      </c>
      <c r="D152" s="338" t="s">
        <v>8369</v>
      </c>
      <c r="E152" s="338" t="s">
        <v>8368</v>
      </c>
      <c r="F152" s="338"/>
      <c r="G152" s="338" t="s">
        <v>413</v>
      </c>
      <c r="H152" s="338" t="s">
        <v>412</v>
      </c>
      <c r="I152" s="338" t="s">
        <v>411</v>
      </c>
      <c r="J152" s="339"/>
      <c r="K152" s="339"/>
      <c r="L152" s="339" t="s">
        <v>409</v>
      </c>
      <c r="M152" s="339" t="s">
        <v>409</v>
      </c>
      <c r="N152" s="338"/>
      <c r="O152" s="338" t="s">
        <v>409</v>
      </c>
      <c r="P152" s="338"/>
    </row>
    <row r="153" spans="2:16" x14ac:dyDescent="0.25">
      <c r="B153" s="336" t="s">
        <v>416</v>
      </c>
      <c r="C153" s="337">
        <v>41624</v>
      </c>
      <c r="D153" s="338" t="s">
        <v>8367</v>
      </c>
      <c r="E153" s="338" t="s">
        <v>6985</v>
      </c>
      <c r="F153" s="338" t="s">
        <v>8366</v>
      </c>
      <c r="G153" s="338" t="s">
        <v>413</v>
      </c>
      <c r="H153" s="338" t="s">
        <v>425</v>
      </c>
      <c r="I153" s="338" t="s">
        <v>1243</v>
      </c>
      <c r="J153" s="339"/>
      <c r="K153" s="339"/>
      <c r="L153" s="339"/>
      <c r="M153" s="339"/>
      <c r="N153" s="338"/>
      <c r="O153" s="338" t="s">
        <v>417</v>
      </c>
      <c r="P153" s="338" t="s">
        <v>417</v>
      </c>
    </row>
    <row r="154" spans="2:16" x14ac:dyDescent="0.25">
      <c r="B154" s="336" t="s">
        <v>459</v>
      </c>
      <c r="C154" s="337">
        <v>41621</v>
      </c>
      <c r="D154" s="338" t="s">
        <v>8271</v>
      </c>
      <c r="E154" s="338" t="s">
        <v>8049</v>
      </c>
      <c r="F154" s="338"/>
      <c r="G154" s="338" t="s">
        <v>413</v>
      </c>
      <c r="H154" s="338" t="s">
        <v>425</v>
      </c>
      <c r="I154" s="338" t="s">
        <v>411</v>
      </c>
      <c r="J154" s="339"/>
      <c r="K154" s="339"/>
      <c r="L154" s="339" t="s">
        <v>409</v>
      </c>
      <c r="M154" s="339" t="s">
        <v>409</v>
      </c>
      <c r="N154" s="338" t="s">
        <v>417</v>
      </c>
      <c r="O154" s="338" t="s">
        <v>409</v>
      </c>
      <c r="P154" s="338" t="s">
        <v>443</v>
      </c>
    </row>
    <row r="155" spans="2:16" x14ac:dyDescent="0.25">
      <c r="B155" s="336" t="s">
        <v>416</v>
      </c>
      <c r="C155" s="337">
        <v>41618</v>
      </c>
      <c r="D155" s="338" t="s">
        <v>3488</v>
      </c>
      <c r="E155" s="338" t="s">
        <v>598</v>
      </c>
      <c r="F155" s="338"/>
      <c r="G155" s="338" t="s">
        <v>413</v>
      </c>
      <c r="H155" s="338" t="s">
        <v>425</v>
      </c>
      <c r="I155" s="338" t="s">
        <v>1243</v>
      </c>
      <c r="J155" s="339"/>
      <c r="K155" s="339"/>
      <c r="L155" s="339" t="s">
        <v>409</v>
      </c>
      <c r="M155" s="339" t="s">
        <v>409</v>
      </c>
      <c r="N155" s="338"/>
      <c r="O155" s="338" t="s">
        <v>409</v>
      </c>
      <c r="P155" s="338" t="s">
        <v>417</v>
      </c>
    </row>
    <row r="156" spans="2:16" x14ac:dyDescent="0.25">
      <c r="B156" s="336" t="s">
        <v>459</v>
      </c>
      <c r="C156" s="337">
        <v>41618</v>
      </c>
      <c r="D156" s="338" t="s">
        <v>8365</v>
      </c>
      <c r="E156" s="338" t="s">
        <v>8364</v>
      </c>
      <c r="F156" s="338"/>
      <c r="G156" s="338">
        <v>25</v>
      </c>
      <c r="H156" s="338" t="s">
        <v>425</v>
      </c>
      <c r="I156" s="338" t="s">
        <v>411</v>
      </c>
      <c r="J156" s="339"/>
      <c r="K156" s="339"/>
      <c r="L156" s="339" t="s">
        <v>409</v>
      </c>
      <c r="M156" s="339" t="s">
        <v>409</v>
      </c>
      <c r="N156" s="338" t="s">
        <v>605</v>
      </c>
      <c r="O156" s="338" t="s">
        <v>409</v>
      </c>
      <c r="P156" s="338"/>
    </row>
    <row r="157" spans="2:16" x14ac:dyDescent="0.25">
      <c r="B157" s="336" t="s">
        <v>416</v>
      </c>
      <c r="C157" s="337">
        <v>41618</v>
      </c>
      <c r="D157" s="338" t="s">
        <v>8363</v>
      </c>
      <c r="E157" s="338" t="s">
        <v>1330</v>
      </c>
      <c r="F157" s="338" t="s">
        <v>2764</v>
      </c>
      <c r="G157" s="338">
        <v>225</v>
      </c>
      <c r="H157" s="338" t="s">
        <v>418</v>
      </c>
      <c r="I157" s="338" t="s">
        <v>411</v>
      </c>
      <c r="J157" s="339"/>
      <c r="K157" s="339"/>
      <c r="L157" s="339">
        <v>2.5831599999999999</v>
      </c>
      <c r="M157" s="339">
        <v>418.44600000000003</v>
      </c>
      <c r="N157" s="338" t="s">
        <v>417</v>
      </c>
      <c r="O157" s="338" t="s">
        <v>417</v>
      </c>
      <c r="P157" s="338" t="s">
        <v>443</v>
      </c>
    </row>
    <row r="158" spans="2:16" x14ac:dyDescent="0.25">
      <c r="B158" s="336" t="s">
        <v>416</v>
      </c>
      <c r="C158" s="337">
        <v>41617</v>
      </c>
      <c r="D158" s="338" t="s">
        <v>8362</v>
      </c>
      <c r="E158" s="338" t="s">
        <v>7456</v>
      </c>
      <c r="F158" s="338" t="s">
        <v>8361</v>
      </c>
      <c r="G158" s="338">
        <v>140</v>
      </c>
      <c r="H158" s="338" t="s">
        <v>425</v>
      </c>
      <c r="I158" s="338" t="s">
        <v>411</v>
      </c>
      <c r="J158" s="339"/>
      <c r="K158" s="339"/>
      <c r="L158" s="339"/>
      <c r="M158" s="339"/>
      <c r="N158" s="338"/>
      <c r="O158" s="338" t="s">
        <v>417</v>
      </c>
      <c r="P158" s="338" t="s">
        <v>417</v>
      </c>
    </row>
    <row r="159" spans="2:16" x14ac:dyDescent="0.25">
      <c r="B159" s="336" t="s">
        <v>416</v>
      </c>
      <c r="C159" s="337">
        <v>41617</v>
      </c>
      <c r="D159" s="338" t="s">
        <v>8360</v>
      </c>
      <c r="E159" s="338" t="s">
        <v>8359</v>
      </c>
      <c r="F159" s="338"/>
      <c r="G159" s="338" t="s">
        <v>413</v>
      </c>
      <c r="H159" s="338" t="s">
        <v>412</v>
      </c>
      <c r="I159" s="338" t="s">
        <v>411</v>
      </c>
      <c r="J159" s="339"/>
      <c r="K159" s="339"/>
      <c r="L159" s="339" t="s">
        <v>409</v>
      </c>
      <c r="M159" s="339" t="s">
        <v>409</v>
      </c>
      <c r="N159" s="338" t="s">
        <v>410</v>
      </c>
      <c r="O159" s="338" t="s">
        <v>409</v>
      </c>
      <c r="P159" s="338" t="s">
        <v>417</v>
      </c>
    </row>
    <row r="160" spans="2:16" x14ac:dyDescent="0.25">
      <c r="B160" s="336" t="s">
        <v>416</v>
      </c>
      <c r="C160" s="337">
        <v>41617</v>
      </c>
      <c r="D160" s="338" t="s">
        <v>6002</v>
      </c>
      <c r="E160" s="338" t="s">
        <v>8358</v>
      </c>
      <c r="F160" s="338" t="s">
        <v>8357</v>
      </c>
      <c r="G160" s="338">
        <v>380</v>
      </c>
      <c r="H160" s="338" t="s">
        <v>412</v>
      </c>
      <c r="I160" s="338" t="s">
        <v>411</v>
      </c>
      <c r="J160" s="339"/>
      <c r="K160" s="339"/>
      <c r="L160" s="339"/>
      <c r="M160" s="339"/>
      <c r="N160" s="338" t="s">
        <v>417</v>
      </c>
      <c r="O160" s="338"/>
      <c r="P160" s="338" t="s">
        <v>410</v>
      </c>
    </row>
    <row r="161" spans="2:16" x14ac:dyDescent="0.25">
      <c r="B161" s="336" t="s">
        <v>416</v>
      </c>
      <c r="C161" s="337">
        <v>41617</v>
      </c>
      <c r="D161" s="338" t="s">
        <v>8356</v>
      </c>
      <c r="E161" s="338" t="s">
        <v>463</v>
      </c>
      <c r="F161" s="338"/>
      <c r="G161" s="338" t="s">
        <v>413</v>
      </c>
      <c r="H161" s="338" t="s">
        <v>412</v>
      </c>
      <c r="I161" s="338" t="s">
        <v>411</v>
      </c>
      <c r="J161" s="339"/>
      <c r="K161" s="339"/>
      <c r="L161" s="339" t="s">
        <v>409</v>
      </c>
      <c r="M161" s="339" t="s">
        <v>409</v>
      </c>
      <c r="N161" s="338" t="s">
        <v>612</v>
      </c>
      <c r="O161" s="338" t="s">
        <v>409</v>
      </c>
      <c r="P161" s="338" t="s">
        <v>417</v>
      </c>
    </row>
    <row r="162" spans="2:16" x14ac:dyDescent="0.25">
      <c r="B162" s="336" t="s">
        <v>416</v>
      </c>
      <c r="C162" s="337">
        <v>41617</v>
      </c>
      <c r="D162" s="338" t="s">
        <v>1709</v>
      </c>
      <c r="E162" s="338" t="s">
        <v>7851</v>
      </c>
      <c r="F162" s="338" t="s">
        <v>8355</v>
      </c>
      <c r="G162" s="338" t="s">
        <v>413</v>
      </c>
      <c r="H162" s="338" t="s">
        <v>412</v>
      </c>
      <c r="I162" s="338" t="s">
        <v>411</v>
      </c>
      <c r="J162" s="339"/>
      <c r="K162" s="339"/>
      <c r="L162" s="339"/>
      <c r="M162" s="339"/>
      <c r="N162" s="338" t="s">
        <v>417</v>
      </c>
      <c r="O162" s="338"/>
      <c r="P162" s="338" t="s">
        <v>417</v>
      </c>
    </row>
    <row r="163" spans="2:16" x14ac:dyDescent="0.25">
      <c r="B163" s="336" t="s">
        <v>416</v>
      </c>
      <c r="C163" s="337">
        <v>41616</v>
      </c>
      <c r="D163" s="338" t="s">
        <v>8354</v>
      </c>
      <c r="E163" s="338" t="s">
        <v>1498</v>
      </c>
      <c r="F163" s="338"/>
      <c r="G163" s="338" t="s">
        <v>413</v>
      </c>
      <c r="H163" s="338" t="s">
        <v>412</v>
      </c>
      <c r="I163" s="338" t="s">
        <v>411</v>
      </c>
      <c r="J163" s="339"/>
      <c r="K163" s="339"/>
      <c r="L163" s="339" t="s">
        <v>409</v>
      </c>
      <c r="M163" s="339" t="s">
        <v>409</v>
      </c>
      <c r="N163" s="338" t="s">
        <v>417</v>
      </c>
      <c r="O163" s="338" t="s">
        <v>409</v>
      </c>
      <c r="P163" s="338" t="s">
        <v>417</v>
      </c>
    </row>
    <row r="164" spans="2:16" x14ac:dyDescent="0.25">
      <c r="B164" s="336" t="s">
        <v>416</v>
      </c>
      <c r="C164" s="337">
        <v>41614</v>
      </c>
      <c r="D164" s="338" t="s">
        <v>8353</v>
      </c>
      <c r="E164" s="338" t="s">
        <v>8307</v>
      </c>
      <c r="F164" s="338"/>
      <c r="G164" s="338" t="s">
        <v>413</v>
      </c>
      <c r="H164" s="338" t="s">
        <v>425</v>
      </c>
      <c r="I164" s="338" t="s">
        <v>1243</v>
      </c>
      <c r="J164" s="339"/>
      <c r="K164" s="339"/>
      <c r="L164" s="339" t="s">
        <v>409</v>
      </c>
      <c r="M164" s="339" t="s">
        <v>409</v>
      </c>
      <c r="N164" s="338"/>
      <c r="O164" s="338" t="s">
        <v>409</v>
      </c>
      <c r="P164" s="338" t="s">
        <v>417</v>
      </c>
    </row>
    <row r="165" spans="2:16" x14ac:dyDescent="0.25">
      <c r="B165" s="336" t="s">
        <v>541</v>
      </c>
      <c r="C165" s="337">
        <v>41614</v>
      </c>
      <c r="D165" s="338" t="s">
        <v>8352</v>
      </c>
      <c r="E165" s="338" t="s">
        <v>539</v>
      </c>
      <c r="F165" s="338" t="s">
        <v>672</v>
      </c>
      <c r="G165" s="338" t="s">
        <v>413</v>
      </c>
      <c r="H165" s="338"/>
      <c r="I165" s="338" t="s">
        <v>1243</v>
      </c>
      <c r="J165" s="339"/>
      <c r="K165" s="339"/>
      <c r="L165" s="339">
        <v>0.20780999999999999</v>
      </c>
      <c r="M165" s="339"/>
      <c r="N165" s="338" t="s">
        <v>417</v>
      </c>
      <c r="O165" s="338" t="s">
        <v>417</v>
      </c>
      <c r="P165" s="338" t="s">
        <v>409</v>
      </c>
    </row>
    <row r="166" spans="2:16" x14ac:dyDescent="0.25">
      <c r="B166" s="336" t="s">
        <v>416</v>
      </c>
      <c r="C166" s="337">
        <v>41614</v>
      </c>
      <c r="D166" s="338" t="s">
        <v>8351</v>
      </c>
      <c r="E166" s="338" t="s">
        <v>8252</v>
      </c>
      <c r="F166" s="338"/>
      <c r="G166" s="338" t="s">
        <v>413</v>
      </c>
      <c r="H166" s="338" t="s">
        <v>412</v>
      </c>
      <c r="I166" s="338" t="s">
        <v>411</v>
      </c>
      <c r="J166" s="339"/>
      <c r="K166" s="339"/>
      <c r="L166" s="339" t="s">
        <v>409</v>
      </c>
      <c r="M166" s="339" t="s">
        <v>409</v>
      </c>
      <c r="N166" s="338"/>
      <c r="O166" s="338" t="s">
        <v>409</v>
      </c>
      <c r="P166" s="338" t="s">
        <v>543</v>
      </c>
    </row>
    <row r="167" spans="2:16" x14ac:dyDescent="0.25">
      <c r="B167" s="336" t="s">
        <v>416</v>
      </c>
      <c r="C167" s="337">
        <v>41613</v>
      </c>
      <c r="D167" s="338" t="s">
        <v>8350</v>
      </c>
      <c r="E167" s="338" t="s">
        <v>8049</v>
      </c>
      <c r="F167" s="338"/>
      <c r="G167" s="338">
        <v>0.95</v>
      </c>
      <c r="H167" s="338" t="s">
        <v>336</v>
      </c>
      <c r="I167" s="338" t="s">
        <v>411</v>
      </c>
      <c r="J167" s="339"/>
      <c r="K167" s="339"/>
      <c r="L167" s="339" t="s">
        <v>409</v>
      </c>
      <c r="M167" s="339" t="s">
        <v>409</v>
      </c>
      <c r="N167" s="338"/>
      <c r="O167" s="338" t="s">
        <v>409</v>
      </c>
      <c r="P167" s="338" t="s">
        <v>443</v>
      </c>
    </row>
    <row r="168" spans="2:16" x14ac:dyDescent="0.25">
      <c r="B168" s="336" t="s">
        <v>416</v>
      </c>
      <c r="C168" s="337">
        <v>41613</v>
      </c>
      <c r="D168" s="338" t="s">
        <v>8349</v>
      </c>
      <c r="E168" s="338" t="s">
        <v>8348</v>
      </c>
      <c r="F168" s="338" t="s">
        <v>8347</v>
      </c>
      <c r="G168" s="338">
        <v>37.4</v>
      </c>
      <c r="H168" s="338" t="s">
        <v>425</v>
      </c>
      <c r="I168" s="338" t="s">
        <v>411</v>
      </c>
      <c r="J168" s="339"/>
      <c r="K168" s="339"/>
      <c r="L168" s="339"/>
      <c r="M168" s="339"/>
      <c r="N168" s="338"/>
      <c r="O168" s="338" t="s">
        <v>417</v>
      </c>
      <c r="P168" s="338" t="s">
        <v>443</v>
      </c>
    </row>
    <row r="169" spans="2:16" x14ac:dyDescent="0.25">
      <c r="B169" s="336" t="s">
        <v>1441</v>
      </c>
      <c r="C169" s="337">
        <v>41613</v>
      </c>
      <c r="D169" s="338" t="s">
        <v>8346</v>
      </c>
      <c r="E169" s="338" t="s">
        <v>7564</v>
      </c>
      <c r="F169" s="338"/>
      <c r="G169" s="338">
        <v>0.41</v>
      </c>
      <c r="H169" s="338" t="s">
        <v>412</v>
      </c>
      <c r="I169" s="338" t="s">
        <v>1243</v>
      </c>
      <c r="J169" s="339"/>
      <c r="K169" s="339"/>
      <c r="L169" s="339" t="s">
        <v>409</v>
      </c>
      <c r="M169" s="339" t="s">
        <v>409</v>
      </c>
      <c r="N169" s="338" t="s">
        <v>417</v>
      </c>
      <c r="O169" s="338" t="s">
        <v>409</v>
      </c>
      <c r="P169" s="338" t="s">
        <v>417</v>
      </c>
    </row>
    <row r="170" spans="2:16" x14ac:dyDescent="0.25">
      <c r="B170" s="336" t="s">
        <v>416</v>
      </c>
      <c r="C170" s="337">
        <v>41612</v>
      </c>
      <c r="D170" s="338" t="s">
        <v>8345</v>
      </c>
      <c r="E170" s="338" t="s">
        <v>8344</v>
      </c>
      <c r="F170" s="338" t="s">
        <v>1140</v>
      </c>
      <c r="G170" s="338">
        <v>51</v>
      </c>
      <c r="H170" s="338" t="s">
        <v>425</v>
      </c>
      <c r="I170" s="338" t="s">
        <v>411</v>
      </c>
      <c r="J170" s="339"/>
      <c r="K170" s="339"/>
      <c r="L170" s="339">
        <v>1.38144</v>
      </c>
      <c r="M170" s="339">
        <v>8.0563300000000009</v>
      </c>
      <c r="N170" s="338"/>
      <c r="O170" s="338" t="s">
        <v>417</v>
      </c>
      <c r="P170" s="338" t="s">
        <v>417</v>
      </c>
    </row>
    <row r="171" spans="2:16" x14ac:dyDescent="0.25">
      <c r="B171" s="336" t="s">
        <v>459</v>
      </c>
      <c r="C171" s="337">
        <v>41612</v>
      </c>
      <c r="D171" s="338" t="s">
        <v>8343</v>
      </c>
      <c r="E171" s="338" t="s">
        <v>8342</v>
      </c>
      <c r="F171" s="338"/>
      <c r="G171" s="338" t="s">
        <v>413</v>
      </c>
      <c r="H171" s="338" t="s">
        <v>412</v>
      </c>
      <c r="I171" s="338" t="s">
        <v>1243</v>
      </c>
      <c r="J171" s="339"/>
      <c r="K171" s="339"/>
      <c r="L171" s="339" t="s">
        <v>409</v>
      </c>
      <c r="M171" s="339" t="s">
        <v>409</v>
      </c>
      <c r="N171" s="338" t="s">
        <v>605</v>
      </c>
      <c r="O171" s="338" t="s">
        <v>409</v>
      </c>
      <c r="P171" s="338" t="s">
        <v>417</v>
      </c>
    </row>
    <row r="172" spans="2:16" x14ac:dyDescent="0.25">
      <c r="B172" s="336" t="s">
        <v>416</v>
      </c>
      <c r="C172" s="337">
        <v>41611</v>
      </c>
      <c r="D172" s="338" t="s">
        <v>8341</v>
      </c>
      <c r="E172" s="338" t="s">
        <v>8340</v>
      </c>
      <c r="F172" s="338"/>
      <c r="G172" s="338" t="s">
        <v>413</v>
      </c>
      <c r="H172" s="338" t="s">
        <v>412</v>
      </c>
      <c r="I172" s="338" t="s">
        <v>411</v>
      </c>
      <c r="J172" s="339"/>
      <c r="K172" s="339"/>
      <c r="L172" s="339" t="s">
        <v>409</v>
      </c>
      <c r="M172" s="339" t="s">
        <v>409</v>
      </c>
      <c r="N172" s="338" t="s">
        <v>417</v>
      </c>
      <c r="O172" s="338" t="s">
        <v>409</v>
      </c>
      <c r="P172" s="338" t="s">
        <v>417</v>
      </c>
    </row>
    <row r="173" spans="2:16" x14ac:dyDescent="0.25">
      <c r="B173" s="336" t="s">
        <v>416</v>
      </c>
      <c r="C173" s="337">
        <v>41610</v>
      </c>
      <c r="D173" s="338" t="s">
        <v>8339</v>
      </c>
      <c r="E173" s="338" t="s">
        <v>8338</v>
      </c>
      <c r="F173" s="338" t="s">
        <v>5476</v>
      </c>
      <c r="G173" s="338" t="s">
        <v>413</v>
      </c>
      <c r="H173" s="338" t="s">
        <v>412</v>
      </c>
      <c r="I173" s="338" t="s">
        <v>411</v>
      </c>
      <c r="J173" s="339"/>
      <c r="K173" s="339"/>
      <c r="L173" s="339">
        <v>4.5372899999999996</v>
      </c>
      <c r="M173" s="339">
        <v>35.011600000000001</v>
      </c>
      <c r="N173" s="338" t="s">
        <v>605</v>
      </c>
      <c r="O173" s="338" t="s">
        <v>417</v>
      </c>
      <c r="P173" s="338" t="s">
        <v>432</v>
      </c>
    </row>
    <row r="174" spans="2:16" x14ac:dyDescent="0.25">
      <c r="B174" s="336" t="s">
        <v>416</v>
      </c>
      <c r="C174" s="337">
        <v>41610</v>
      </c>
      <c r="D174" s="338" t="s">
        <v>8337</v>
      </c>
      <c r="E174" s="338" t="s">
        <v>8336</v>
      </c>
      <c r="F174" s="338"/>
      <c r="G174" s="338" t="s">
        <v>413</v>
      </c>
      <c r="H174" s="338" t="s">
        <v>412</v>
      </c>
      <c r="I174" s="338" t="s">
        <v>411</v>
      </c>
      <c r="J174" s="339"/>
      <c r="K174" s="339"/>
      <c r="L174" s="339" t="s">
        <v>409</v>
      </c>
      <c r="M174" s="339" t="s">
        <v>409</v>
      </c>
      <c r="N174" s="338" t="s">
        <v>605</v>
      </c>
      <c r="O174" s="338" t="s">
        <v>409</v>
      </c>
      <c r="P174" s="338" t="s">
        <v>417</v>
      </c>
    </row>
    <row r="175" spans="2:16" x14ac:dyDescent="0.25">
      <c r="B175" s="336" t="s">
        <v>416</v>
      </c>
      <c r="C175" s="337">
        <v>41610</v>
      </c>
      <c r="D175" s="338" t="s">
        <v>956</v>
      </c>
      <c r="E175" s="338" t="s">
        <v>7752</v>
      </c>
      <c r="F175" s="338" t="s">
        <v>8220</v>
      </c>
      <c r="G175" s="338">
        <v>36</v>
      </c>
      <c r="H175" s="338" t="s">
        <v>425</v>
      </c>
      <c r="I175" s="338" t="s">
        <v>411</v>
      </c>
      <c r="J175" s="339"/>
      <c r="K175" s="339"/>
      <c r="L175" s="339">
        <v>0.18332200000000001</v>
      </c>
      <c r="M175" s="339">
        <v>4.3496899999999998</v>
      </c>
      <c r="N175" s="338"/>
      <c r="O175" s="338" t="s">
        <v>410</v>
      </c>
      <c r="P175" s="338" t="s">
        <v>417</v>
      </c>
    </row>
    <row r="176" spans="2:16" x14ac:dyDescent="0.25">
      <c r="B176" s="336" t="s">
        <v>416</v>
      </c>
      <c r="C176" s="337">
        <v>41607</v>
      </c>
      <c r="D176" s="338" t="s">
        <v>8335</v>
      </c>
      <c r="E176" s="338" t="s">
        <v>8334</v>
      </c>
      <c r="F176" s="338"/>
      <c r="G176" s="338" t="s">
        <v>413</v>
      </c>
      <c r="H176" s="338" t="s">
        <v>336</v>
      </c>
      <c r="I176" s="338" t="s">
        <v>1243</v>
      </c>
      <c r="J176" s="339"/>
      <c r="K176" s="339"/>
      <c r="L176" s="339" t="s">
        <v>409</v>
      </c>
      <c r="M176" s="339" t="s">
        <v>409</v>
      </c>
      <c r="N176" s="338" t="s">
        <v>410</v>
      </c>
      <c r="O176" s="338" t="s">
        <v>409</v>
      </c>
      <c r="P176" s="338" t="s">
        <v>410</v>
      </c>
    </row>
    <row r="177" spans="2:16" x14ac:dyDescent="0.25">
      <c r="B177" s="336" t="s">
        <v>459</v>
      </c>
      <c r="C177" s="337">
        <v>41605</v>
      </c>
      <c r="D177" s="338" t="s">
        <v>8017</v>
      </c>
      <c r="E177" s="338" t="s">
        <v>8016</v>
      </c>
      <c r="F177" s="338"/>
      <c r="G177" s="338">
        <v>1</v>
      </c>
      <c r="H177" s="338" t="s">
        <v>425</v>
      </c>
      <c r="I177" s="338" t="s">
        <v>411</v>
      </c>
      <c r="J177" s="339"/>
      <c r="K177" s="339"/>
      <c r="L177" s="339" t="s">
        <v>409</v>
      </c>
      <c r="M177" s="339" t="s">
        <v>409</v>
      </c>
      <c r="N177" s="338" t="s">
        <v>605</v>
      </c>
      <c r="O177" s="338" t="s">
        <v>409</v>
      </c>
      <c r="P177" s="338"/>
    </row>
    <row r="178" spans="2:16" x14ac:dyDescent="0.25">
      <c r="B178" s="336" t="s">
        <v>416</v>
      </c>
      <c r="C178" s="337">
        <v>41605</v>
      </c>
      <c r="D178" s="338" t="s">
        <v>8333</v>
      </c>
      <c r="E178" s="338" t="s">
        <v>2418</v>
      </c>
      <c r="F178" s="338" t="s">
        <v>8332</v>
      </c>
      <c r="G178" s="338">
        <v>2100</v>
      </c>
      <c r="H178" s="338" t="s">
        <v>425</v>
      </c>
      <c r="I178" s="338" t="s">
        <v>411</v>
      </c>
      <c r="J178" s="339"/>
      <c r="K178" s="339"/>
      <c r="L178" s="339"/>
      <c r="M178" s="339"/>
      <c r="N178" s="338" t="s">
        <v>410</v>
      </c>
      <c r="O178" s="338" t="s">
        <v>410</v>
      </c>
      <c r="P178" s="338" t="s">
        <v>417</v>
      </c>
    </row>
    <row r="179" spans="2:16" x14ac:dyDescent="0.25">
      <c r="B179" s="336" t="s">
        <v>416</v>
      </c>
      <c r="C179" s="337">
        <v>41605</v>
      </c>
      <c r="D179" s="338" t="s">
        <v>8331</v>
      </c>
      <c r="E179" s="338" t="s">
        <v>5500</v>
      </c>
      <c r="F179" s="338"/>
      <c r="G179" s="338" t="s">
        <v>413</v>
      </c>
      <c r="H179" s="338" t="s">
        <v>412</v>
      </c>
      <c r="I179" s="338" t="s">
        <v>411</v>
      </c>
      <c r="J179" s="339"/>
      <c r="K179" s="339"/>
      <c r="L179" s="339" t="s">
        <v>409</v>
      </c>
      <c r="M179" s="339" t="s">
        <v>409</v>
      </c>
      <c r="N179" s="338" t="s">
        <v>417</v>
      </c>
      <c r="O179" s="338" t="s">
        <v>409</v>
      </c>
      <c r="P179" s="338" t="s">
        <v>487</v>
      </c>
    </row>
    <row r="180" spans="2:16" x14ac:dyDescent="0.25">
      <c r="B180" s="336" t="s">
        <v>416</v>
      </c>
      <c r="C180" s="337">
        <v>41605</v>
      </c>
      <c r="D180" s="338" t="s">
        <v>8330</v>
      </c>
      <c r="E180" s="338" t="s">
        <v>8329</v>
      </c>
      <c r="F180" s="338" t="s">
        <v>8328</v>
      </c>
      <c r="G180" s="338" t="s">
        <v>413</v>
      </c>
      <c r="H180" s="338" t="s">
        <v>425</v>
      </c>
      <c r="I180" s="338" t="s">
        <v>1243</v>
      </c>
      <c r="J180" s="339"/>
      <c r="K180" s="339"/>
      <c r="L180" s="339"/>
      <c r="M180" s="339"/>
      <c r="N180" s="338"/>
      <c r="O180" s="338" t="s">
        <v>417</v>
      </c>
      <c r="P180" s="338" t="s">
        <v>432</v>
      </c>
    </row>
    <row r="181" spans="2:16" x14ac:dyDescent="0.25">
      <c r="B181" s="336" t="s">
        <v>416</v>
      </c>
      <c r="C181" s="337">
        <v>41604</v>
      </c>
      <c r="D181" s="338" t="s">
        <v>8327</v>
      </c>
      <c r="E181" s="338" t="s">
        <v>6054</v>
      </c>
      <c r="F181" s="338" t="s">
        <v>8326</v>
      </c>
      <c r="G181" s="338" t="s">
        <v>413</v>
      </c>
      <c r="H181" s="338" t="s">
        <v>425</v>
      </c>
      <c r="I181" s="338" t="s">
        <v>1243</v>
      </c>
      <c r="J181" s="339"/>
      <c r="K181" s="339"/>
      <c r="L181" s="339"/>
      <c r="M181" s="339"/>
      <c r="N181" s="338"/>
      <c r="O181" s="338" t="s">
        <v>410</v>
      </c>
      <c r="P181" s="338" t="s">
        <v>417</v>
      </c>
    </row>
    <row r="182" spans="2:16" x14ac:dyDescent="0.25">
      <c r="B182" s="336" t="s">
        <v>416</v>
      </c>
      <c r="C182" s="337">
        <v>41604</v>
      </c>
      <c r="D182" s="338" t="s">
        <v>8294</v>
      </c>
      <c r="E182" s="338" t="s">
        <v>2807</v>
      </c>
      <c r="F182" s="338"/>
      <c r="G182" s="338">
        <v>1486.07</v>
      </c>
      <c r="H182" s="338" t="s">
        <v>425</v>
      </c>
      <c r="I182" s="338" t="s">
        <v>1243</v>
      </c>
      <c r="J182" s="339">
        <v>0.97227600000000003</v>
      </c>
      <c r="K182" s="339">
        <v>7.52827</v>
      </c>
      <c r="L182" s="339" t="s">
        <v>409</v>
      </c>
      <c r="M182" s="339" t="s">
        <v>409</v>
      </c>
      <c r="N182" s="338" t="s">
        <v>417</v>
      </c>
      <c r="O182" s="338" t="s">
        <v>409</v>
      </c>
      <c r="P182" s="338" t="s">
        <v>417</v>
      </c>
    </row>
    <row r="183" spans="2:16" x14ac:dyDescent="0.25">
      <c r="B183" s="336" t="s">
        <v>416</v>
      </c>
      <c r="C183" s="337">
        <v>41604</v>
      </c>
      <c r="D183" s="338" t="s">
        <v>8325</v>
      </c>
      <c r="E183" s="338" t="s">
        <v>8324</v>
      </c>
      <c r="F183" s="338" t="s">
        <v>8323</v>
      </c>
      <c r="G183" s="338" t="s">
        <v>413</v>
      </c>
      <c r="H183" s="338" t="s">
        <v>425</v>
      </c>
      <c r="I183" s="338" t="s">
        <v>411</v>
      </c>
      <c r="J183" s="339"/>
      <c r="K183" s="339"/>
      <c r="L183" s="339"/>
      <c r="M183" s="339"/>
      <c r="N183" s="338"/>
      <c r="O183" s="338" t="s">
        <v>487</v>
      </c>
      <c r="P183" s="338" t="s">
        <v>487</v>
      </c>
    </row>
    <row r="184" spans="2:16" x14ac:dyDescent="0.25">
      <c r="B184" s="336" t="s">
        <v>459</v>
      </c>
      <c r="C184" s="337">
        <v>41603</v>
      </c>
      <c r="D184" s="338" t="s">
        <v>7632</v>
      </c>
      <c r="E184" s="338" t="s">
        <v>8322</v>
      </c>
      <c r="F184" s="338"/>
      <c r="G184" s="338" t="s">
        <v>413</v>
      </c>
      <c r="H184" s="338" t="s">
        <v>412</v>
      </c>
      <c r="I184" s="338" t="s">
        <v>411</v>
      </c>
      <c r="J184" s="339"/>
      <c r="K184" s="339"/>
      <c r="L184" s="339" t="s">
        <v>409</v>
      </c>
      <c r="M184" s="339" t="s">
        <v>409</v>
      </c>
      <c r="N184" s="338" t="s">
        <v>417</v>
      </c>
      <c r="O184" s="338" t="s">
        <v>409</v>
      </c>
      <c r="P184" s="338" t="s">
        <v>443</v>
      </c>
    </row>
    <row r="185" spans="2:16" x14ac:dyDescent="0.25">
      <c r="B185" s="336" t="s">
        <v>416</v>
      </c>
      <c r="C185" s="337">
        <v>41603</v>
      </c>
      <c r="D185" s="338" t="s">
        <v>8321</v>
      </c>
      <c r="E185" s="338" t="s">
        <v>2557</v>
      </c>
      <c r="F185" s="338"/>
      <c r="G185" s="338" t="s">
        <v>413</v>
      </c>
      <c r="H185" s="338" t="s">
        <v>425</v>
      </c>
      <c r="I185" s="338" t="s">
        <v>411</v>
      </c>
      <c r="J185" s="339"/>
      <c r="K185" s="339"/>
      <c r="L185" s="339" t="s">
        <v>409</v>
      </c>
      <c r="M185" s="339" t="s">
        <v>409</v>
      </c>
      <c r="N185" s="338"/>
      <c r="O185" s="338" t="s">
        <v>409</v>
      </c>
      <c r="P185" s="338" t="s">
        <v>417</v>
      </c>
    </row>
    <row r="186" spans="2:16" x14ac:dyDescent="0.25">
      <c r="B186" s="336" t="s">
        <v>416</v>
      </c>
      <c r="C186" s="337">
        <v>41603</v>
      </c>
      <c r="D186" s="338" t="s">
        <v>8320</v>
      </c>
      <c r="E186" s="338" t="s">
        <v>1322</v>
      </c>
      <c r="F186" s="338"/>
      <c r="G186" s="338" t="s">
        <v>413</v>
      </c>
      <c r="H186" s="338" t="s">
        <v>412</v>
      </c>
      <c r="I186" s="338" t="s">
        <v>411</v>
      </c>
      <c r="J186" s="339"/>
      <c r="K186" s="339"/>
      <c r="L186" s="339" t="s">
        <v>409</v>
      </c>
      <c r="M186" s="339" t="s">
        <v>409</v>
      </c>
      <c r="N186" s="338" t="s">
        <v>417</v>
      </c>
      <c r="O186" s="338" t="s">
        <v>409</v>
      </c>
      <c r="P186" s="338" t="s">
        <v>417</v>
      </c>
    </row>
    <row r="187" spans="2:16" x14ac:dyDescent="0.25">
      <c r="B187" s="336" t="s">
        <v>416</v>
      </c>
      <c r="C187" s="337">
        <v>41603</v>
      </c>
      <c r="D187" s="338" t="s">
        <v>8319</v>
      </c>
      <c r="E187" s="338" t="s">
        <v>8318</v>
      </c>
      <c r="F187" s="338" t="s">
        <v>8317</v>
      </c>
      <c r="G187" s="338" t="s">
        <v>413</v>
      </c>
      <c r="H187" s="338" t="s">
        <v>425</v>
      </c>
      <c r="I187" s="338" t="s">
        <v>1243</v>
      </c>
      <c r="J187" s="339"/>
      <c r="K187" s="339"/>
      <c r="L187" s="339"/>
      <c r="M187" s="339"/>
      <c r="N187" s="338"/>
      <c r="O187" s="338" t="s">
        <v>417</v>
      </c>
      <c r="P187" s="338" t="s">
        <v>417</v>
      </c>
    </row>
    <row r="188" spans="2:16" x14ac:dyDescent="0.25">
      <c r="B188" s="336" t="s">
        <v>459</v>
      </c>
      <c r="C188" s="337">
        <v>41600</v>
      </c>
      <c r="D188" s="338" t="s">
        <v>8316</v>
      </c>
      <c r="E188" s="338" t="s">
        <v>7328</v>
      </c>
      <c r="F188" s="338"/>
      <c r="G188" s="338" t="s">
        <v>413</v>
      </c>
      <c r="H188" s="338" t="s">
        <v>425</v>
      </c>
      <c r="I188" s="338" t="s">
        <v>411</v>
      </c>
      <c r="J188" s="339"/>
      <c r="K188" s="339"/>
      <c r="L188" s="339" t="s">
        <v>409</v>
      </c>
      <c r="M188" s="339" t="s">
        <v>409</v>
      </c>
      <c r="N188" s="338" t="s">
        <v>417</v>
      </c>
      <c r="O188" s="338" t="s">
        <v>409</v>
      </c>
      <c r="P188" s="338" t="s">
        <v>443</v>
      </c>
    </row>
    <row r="189" spans="2:16" x14ac:dyDescent="0.25">
      <c r="B189" s="336" t="s">
        <v>416</v>
      </c>
      <c r="C189" s="337">
        <v>41600</v>
      </c>
      <c r="D189" s="338" t="s">
        <v>8315</v>
      </c>
      <c r="E189" s="338" t="s">
        <v>6895</v>
      </c>
      <c r="F189" s="338" t="s">
        <v>742</v>
      </c>
      <c r="G189" s="338">
        <v>176</v>
      </c>
      <c r="H189" s="338" t="s">
        <v>425</v>
      </c>
      <c r="I189" s="338" t="s">
        <v>411</v>
      </c>
      <c r="J189" s="339"/>
      <c r="K189" s="339"/>
      <c r="L189" s="339">
        <v>3.6272700000000002</v>
      </c>
      <c r="M189" s="339">
        <v>19.650700000000001</v>
      </c>
      <c r="N189" s="338"/>
      <c r="O189" s="338" t="s">
        <v>417</v>
      </c>
      <c r="P189" s="338" t="s">
        <v>417</v>
      </c>
    </row>
    <row r="190" spans="2:16" x14ac:dyDescent="0.25">
      <c r="B190" s="336" t="s">
        <v>416</v>
      </c>
      <c r="C190" s="337">
        <v>41600</v>
      </c>
      <c r="D190" s="338" t="s">
        <v>956</v>
      </c>
      <c r="E190" s="338" t="s">
        <v>2846</v>
      </c>
      <c r="F190" s="338" t="s">
        <v>8314</v>
      </c>
      <c r="G190" s="338">
        <v>7.5</v>
      </c>
      <c r="H190" s="338" t="s">
        <v>425</v>
      </c>
      <c r="I190" s="338" t="s">
        <v>411</v>
      </c>
      <c r="J190" s="339"/>
      <c r="K190" s="339"/>
      <c r="L190" s="339"/>
      <c r="M190" s="339"/>
      <c r="N190" s="338"/>
      <c r="O190" s="338" t="s">
        <v>417</v>
      </c>
      <c r="P190" s="338" t="s">
        <v>417</v>
      </c>
    </row>
    <row r="191" spans="2:16" x14ac:dyDescent="0.25">
      <c r="B191" s="336" t="s">
        <v>1441</v>
      </c>
      <c r="C191" s="337">
        <v>41599</v>
      </c>
      <c r="D191" s="338" t="s">
        <v>8313</v>
      </c>
      <c r="E191" s="338" t="s">
        <v>8312</v>
      </c>
      <c r="F191" s="338"/>
      <c r="G191" s="338" t="s">
        <v>413</v>
      </c>
      <c r="H191" s="338" t="s">
        <v>412</v>
      </c>
      <c r="I191" s="338" t="s">
        <v>411</v>
      </c>
      <c r="J191" s="339"/>
      <c r="K191" s="339"/>
      <c r="L191" s="339" t="s">
        <v>409</v>
      </c>
      <c r="M191" s="339" t="s">
        <v>409</v>
      </c>
      <c r="N191" s="338" t="s">
        <v>432</v>
      </c>
      <c r="O191" s="338" t="s">
        <v>409</v>
      </c>
      <c r="P191" s="338" t="s">
        <v>417</v>
      </c>
    </row>
    <row r="192" spans="2:16" x14ac:dyDescent="0.25">
      <c r="B192" s="336" t="s">
        <v>416</v>
      </c>
      <c r="C192" s="337">
        <v>41598</v>
      </c>
      <c r="D192" s="338" t="s">
        <v>8311</v>
      </c>
      <c r="E192" s="338" t="s">
        <v>2972</v>
      </c>
      <c r="F192" s="338" t="s">
        <v>3662</v>
      </c>
      <c r="G192" s="338">
        <v>25.29</v>
      </c>
      <c r="H192" s="338" t="s">
        <v>425</v>
      </c>
      <c r="I192" s="338" t="s">
        <v>1243</v>
      </c>
      <c r="J192" s="339"/>
      <c r="K192" s="339"/>
      <c r="L192" s="339">
        <v>1.72424</v>
      </c>
      <c r="M192" s="339"/>
      <c r="N192" s="338"/>
      <c r="O192" s="338" t="s">
        <v>417</v>
      </c>
      <c r="P192" s="338" t="s">
        <v>443</v>
      </c>
    </row>
    <row r="193" spans="2:16" x14ac:dyDescent="0.25">
      <c r="B193" s="336" t="s">
        <v>459</v>
      </c>
      <c r="C193" s="337">
        <v>41598</v>
      </c>
      <c r="D193" s="338" t="s">
        <v>4499</v>
      </c>
      <c r="E193" s="338" t="s">
        <v>8310</v>
      </c>
      <c r="F193" s="338"/>
      <c r="G193" s="338">
        <v>40</v>
      </c>
      <c r="H193" s="338" t="s">
        <v>425</v>
      </c>
      <c r="I193" s="338" t="s">
        <v>411</v>
      </c>
      <c r="J193" s="339"/>
      <c r="K193" s="339"/>
      <c r="L193" s="339" t="s">
        <v>409</v>
      </c>
      <c r="M193" s="339" t="s">
        <v>409</v>
      </c>
      <c r="N193" s="338" t="s">
        <v>417</v>
      </c>
      <c r="O193" s="338" t="s">
        <v>409</v>
      </c>
      <c r="P193" s="338"/>
    </row>
    <row r="194" spans="2:16" x14ac:dyDescent="0.25">
      <c r="B194" s="336" t="s">
        <v>416</v>
      </c>
      <c r="C194" s="337">
        <v>41598</v>
      </c>
      <c r="D194" s="338" t="s">
        <v>8309</v>
      </c>
      <c r="E194" s="338" t="s">
        <v>2053</v>
      </c>
      <c r="F194" s="338" t="s">
        <v>1249</v>
      </c>
      <c r="G194" s="338">
        <v>31.3</v>
      </c>
      <c r="H194" s="338" t="s">
        <v>425</v>
      </c>
      <c r="I194" s="338" t="s">
        <v>411</v>
      </c>
      <c r="J194" s="339"/>
      <c r="K194" s="339"/>
      <c r="L194" s="339">
        <v>1.74013</v>
      </c>
      <c r="M194" s="339">
        <v>11.651400000000001</v>
      </c>
      <c r="N194" s="338"/>
      <c r="O194" s="338" t="s">
        <v>417</v>
      </c>
      <c r="P194" s="338" t="s">
        <v>417</v>
      </c>
    </row>
    <row r="195" spans="2:16" x14ac:dyDescent="0.25">
      <c r="B195" s="336" t="s">
        <v>416</v>
      </c>
      <c r="C195" s="337">
        <v>41597</v>
      </c>
      <c r="D195" s="338" t="s">
        <v>8308</v>
      </c>
      <c r="E195" s="338" t="s">
        <v>8307</v>
      </c>
      <c r="F195" s="338"/>
      <c r="G195" s="338" t="s">
        <v>413</v>
      </c>
      <c r="H195" s="338" t="s">
        <v>412</v>
      </c>
      <c r="I195" s="338" t="s">
        <v>411</v>
      </c>
      <c r="J195" s="339"/>
      <c r="K195" s="339"/>
      <c r="L195" s="339" t="s">
        <v>409</v>
      </c>
      <c r="M195" s="339" t="s">
        <v>409</v>
      </c>
      <c r="N195" s="338" t="s">
        <v>443</v>
      </c>
      <c r="O195" s="338" t="s">
        <v>409</v>
      </c>
      <c r="P195" s="338" t="s">
        <v>417</v>
      </c>
    </row>
    <row r="196" spans="2:16" x14ac:dyDescent="0.25">
      <c r="B196" s="336" t="s">
        <v>416</v>
      </c>
      <c r="C196" s="337">
        <v>41597</v>
      </c>
      <c r="D196" s="338" t="s">
        <v>8306</v>
      </c>
      <c r="E196" s="338" t="s">
        <v>453</v>
      </c>
      <c r="F196" s="338" t="s">
        <v>1708</v>
      </c>
      <c r="G196" s="338" t="s">
        <v>413</v>
      </c>
      <c r="H196" s="338" t="s">
        <v>412</v>
      </c>
      <c r="I196" s="338" t="s">
        <v>411</v>
      </c>
      <c r="J196" s="339"/>
      <c r="K196" s="339"/>
      <c r="L196" s="339">
        <v>4.6013799999999998</v>
      </c>
      <c r="M196" s="339">
        <v>8.13809</v>
      </c>
      <c r="N196" s="338" t="s">
        <v>417</v>
      </c>
      <c r="O196" s="338" t="s">
        <v>443</v>
      </c>
      <c r="P196" s="338" t="s">
        <v>443</v>
      </c>
    </row>
    <row r="197" spans="2:16" x14ac:dyDescent="0.25">
      <c r="B197" s="336" t="s">
        <v>416</v>
      </c>
      <c r="C197" s="337">
        <v>41596</v>
      </c>
      <c r="D197" s="338" t="s">
        <v>8305</v>
      </c>
      <c r="E197" s="338" t="s">
        <v>8304</v>
      </c>
      <c r="F197" s="338" t="s">
        <v>8303</v>
      </c>
      <c r="G197" s="338">
        <v>67</v>
      </c>
      <c r="H197" s="338" t="s">
        <v>425</v>
      </c>
      <c r="I197" s="338" t="s">
        <v>1243</v>
      </c>
      <c r="J197" s="339"/>
      <c r="K197" s="339"/>
      <c r="L197" s="339"/>
      <c r="M197" s="339"/>
      <c r="N197" s="338"/>
      <c r="O197" s="338" t="s">
        <v>417</v>
      </c>
      <c r="P197" s="338" t="s">
        <v>408</v>
      </c>
    </row>
    <row r="198" spans="2:16" x14ac:dyDescent="0.25">
      <c r="B198" s="336" t="s">
        <v>416</v>
      </c>
      <c r="C198" s="337">
        <v>41596</v>
      </c>
      <c r="D198" s="338" t="s">
        <v>8302</v>
      </c>
      <c r="E198" s="338" t="s">
        <v>8301</v>
      </c>
      <c r="F198" s="338"/>
      <c r="G198" s="338" t="s">
        <v>413</v>
      </c>
      <c r="H198" s="338" t="s">
        <v>412</v>
      </c>
      <c r="I198" s="338" t="s">
        <v>411</v>
      </c>
      <c r="J198" s="339"/>
      <c r="K198" s="339"/>
      <c r="L198" s="339" t="s">
        <v>409</v>
      </c>
      <c r="M198" s="339" t="s">
        <v>409</v>
      </c>
      <c r="N198" s="338" t="s">
        <v>432</v>
      </c>
      <c r="O198" s="338" t="s">
        <v>409</v>
      </c>
      <c r="P198" s="338" t="s">
        <v>417</v>
      </c>
    </row>
    <row r="199" spans="2:16" x14ac:dyDescent="0.25">
      <c r="B199" s="336" t="s">
        <v>416</v>
      </c>
      <c r="C199" s="337">
        <v>41596</v>
      </c>
      <c r="D199" s="338" t="s">
        <v>7351</v>
      </c>
      <c r="E199" s="338" t="s">
        <v>8300</v>
      </c>
      <c r="F199" s="338" t="s">
        <v>7350</v>
      </c>
      <c r="G199" s="338">
        <v>2.5</v>
      </c>
      <c r="H199" s="338" t="s">
        <v>425</v>
      </c>
      <c r="I199" s="338" t="s">
        <v>411</v>
      </c>
      <c r="J199" s="339"/>
      <c r="K199" s="339"/>
      <c r="L199" s="339">
        <v>3.27318</v>
      </c>
      <c r="M199" s="339"/>
      <c r="N199" s="338" t="s">
        <v>417</v>
      </c>
      <c r="O199" s="338" t="s">
        <v>410</v>
      </c>
      <c r="P199" s="338" t="s">
        <v>410</v>
      </c>
    </row>
    <row r="200" spans="2:16" x14ac:dyDescent="0.25">
      <c r="B200" s="336" t="s">
        <v>416</v>
      </c>
      <c r="C200" s="337">
        <v>41593</v>
      </c>
      <c r="D200" s="338" t="s">
        <v>8299</v>
      </c>
      <c r="E200" s="338" t="s">
        <v>8298</v>
      </c>
      <c r="F200" s="338" t="s">
        <v>8297</v>
      </c>
      <c r="G200" s="338" t="s">
        <v>413</v>
      </c>
      <c r="H200" s="338" t="s">
        <v>425</v>
      </c>
      <c r="I200" s="338" t="s">
        <v>1243</v>
      </c>
      <c r="J200" s="339"/>
      <c r="K200" s="339"/>
      <c r="L200" s="339"/>
      <c r="M200" s="339"/>
      <c r="N200" s="338"/>
      <c r="O200" s="338" t="s">
        <v>417</v>
      </c>
      <c r="P200" s="338" t="s">
        <v>417</v>
      </c>
    </row>
    <row r="201" spans="2:16" x14ac:dyDescent="0.25">
      <c r="B201" s="336" t="s">
        <v>416</v>
      </c>
      <c r="C201" s="337">
        <v>41593</v>
      </c>
      <c r="D201" s="338" t="s">
        <v>956</v>
      </c>
      <c r="E201" s="338" t="s">
        <v>441</v>
      </c>
      <c r="F201" s="338" t="s">
        <v>8296</v>
      </c>
      <c r="G201" s="338" t="s">
        <v>413</v>
      </c>
      <c r="H201" s="338" t="s">
        <v>425</v>
      </c>
      <c r="I201" s="338" t="s">
        <v>1243</v>
      </c>
      <c r="J201" s="339"/>
      <c r="K201" s="339"/>
      <c r="L201" s="339"/>
      <c r="M201" s="339"/>
      <c r="N201" s="338"/>
      <c r="O201" s="338" t="s">
        <v>410</v>
      </c>
      <c r="P201" s="338" t="s">
        <v>417</v>
      </c>
    </row>
    <row r="202" spans="2:16" x14ac:dyDescent="0.25">
      <c r="B202" s="336" t="s">
        <v>416</v>
      </c>
      <c r="C202" s="337">
        <v>41593</v>
      </c>
      <c r="D202" s="338" t="s">
        <v>956</v>
      </c>
      <c r="E202" s="338" t="s">
        <v>441</v>
      </c>
      <c r="F202" s="338" t="s">
        <v>8295</v>
      </c>
      <c r="G202" s="338" t="s">
        <v>413</v>
      </c>
      <c r="H202" s="338" t="s">
        <v>425</v>
      </c>
      <c r="I202" s="338" t="s">
        <v>1243</v>
      </c>
      <c r="J202" s="339"/>
      <c r="K202" s="339"/>
      <c r="L202" s="339">
        <v>0.29589199999999999</v>
      </c>
      <c r="M202" s="339">
        <v>13.0898</v>
      </c>
      <c r="N202" s="338"/>
      <c r="O202" s="338" t="s">
        <v>408</v>
      </c>
      <c r="P202" s="338" t="s">
        <v>417</v>
      </c>
    </row>
    <row r="203" spans="2:16" x14ac:dyDescent="0.25">
      <c r="B203" s="336" t="s">
        <v>416</v>
      </c>
      <c r="C203" s="337">
        <v>41593</v>
      </c>
      <c r="D203" s="338" t="s">
        <v>692</v>
      </c>
      <c r="E203" s="338" t="s">
        <v>8294</v>
      </c>
      <c r="F203" s="338"/>
      <c r="G203" s="338" t="s">
        <v>413</v>
      </c>
      <c r="H203" s="338" t="s">
        <v>412</v>
      </c>
      <c r="I203" s="338" t="s">
        <v>8150</v>
      </c>
      <c r="J203" s="339"/>
      <c r="K203" s="339"/>
      <c r="L203" s="339" t="s">
        <v>409</v>
      </c>
      <c r="M203" s="339" t="s">
        <v>409</v>
      </c>
      <c r="N203" s="338"/>
      <c r="O203" s="338" t="s">
        <v>409</v>
      </c>
      <c r="P203" s="338" t="s">
        <v>417</v>
      </c>
    </row>
    <row r="204" spans="2:16" x14ac:dyDescent="0.25">
      <c r="B204" s="336" t="s">
        <v>416</v>
      </c>
      <c r="C204" s="337">
        <v>41592</v>
      </c>
      <c r="D204" s="338" t="s">
        <v>8293</v>
      </c>
      <c r="E204" s="338" t="s">
        <v>423</v>
      </c>
      <c r="F204" s="338" t="s">
        <v>8292</v>
      </c>
      <c r="G204" s="338" t="s">
        <v>413</v>
      </c>
      <c r="H204" s="338" t="s">
        <v>412</v>
      </c>
      <c r="I204" s="338" t="s">
        <v>411</v>
      </c>
      <c r="J204" s="339"/>
      <c r="K204" s="339"/>
      <c r="L204" s="339"/>
      <c r="M204" s="339"/>
      <c r="N204" s="338" t="s">
        <v>417</v>
      </c>
      <c r="O204" s="338" t="s">
        <v>443</v>
      </c>
      <c r="P204" s="338"/>
    </row>
    <row r="205" spans="2:16" x14ac:dyDescent="0.25">
      <c r="B205" s="336" t="s">
        <v>459</v>
      </c>
      <c r="C205" s="337">
        <v>41592</v>
      </c>
      <c r="D205" s="338" t="s">
        <v>7382</v>
      </c>
      <c r="E205" s="338" t="s">
        <v>8291</v>
      </c>
      <c r="F205" s="338"/>
      <c r="G205" s="338">
        <v>10.1</v>
      </c>
      <c r="H205" s="338" t="s">
        <v>425</v>
      </c>
      <c r="I205" s="338" t="s">
        <v>411</v>
      </c>
      <c r="J205" s="339"/>
      <c r="K205" s="339"/>
      <c r="L205" s="339" t="s">
        <v>409</v>
      </c>
      <c r="M205" s="339" t="s">
        <v>409</v>
      </c>
      <c r="N205" s="338" t="s">
        <v>605</v>
      </c>
      <c r="O205" s="338" t="s">
        <v>409</v>
      </c>
      <c r="P205" s="338"/>
    </row>
    <row r="206" spans="2:16" x14ac:dyDescent="0.25">
      <c r="B206" s="336" t="s">
        <v>416</v>
      </c>
      <c r="C206" s="337">
        <v>41592</v>
      </c>
      <c r="D206" s="338" t="s">
        <v>8290</v>
      </c>
      <c r="E206" s="338" t="s">
        <v>3735</v>
      </c>
      <c r="F206" s="338"/>
      <c r="G206" s="338" t="s">
        <v>413</v>
      </c>
      <c r="H206" s="338" t="s">
        <v>412</v>
      </c>
      <c r="I206" s="338" t="s">
        <v>411</v>
      </c>
      <c r="J206" s="339"/>
      <c r="K206" s="339"/>
      <c r="L206" s="339" t="s">
        <v>409</v>
      </c>
      <c r="M206" s="339" t="s">
        <v>409</v>
      </c>
      <c r="N206" s="338"/>
      <c r="O206" s="338" t="s">
        <v>409</v>
      </c>
      <c r="P206" s="338" t="s">
        <v>417</v>
      </c>
    </row>
    <row r="207" spans="2:16" x14ac:dyDescent="0.25">
      <c r="B207" s="336" t="s">
        <v>459</v>
      </c>
      <c r="C207" s="337">
        <v>41591</v>
      </c>
      <c r="D207" s="338" t="s">
        <v>571</v>
      </c>
      <c r="E207" s="338" t="s">
        <v>6215</v>
      </c>
      <c r="F207" s="338"/>
      <c r="G207" s="338" t="s">
        <v>413</v>
      </c>
      <c r="H207" s="338" t="s">
        <v>412</v>
      </c>
      <c r="I207" s="338" t="s">
        <v>411</v>
      </c>
      <c r="J207" s="339"/>
      <c r="K207" s="339"/>
      <c r="L207" s="339" t="s">
        <v>409</v>
      </c>
      <c r="M207" s="339" t="s">
        <v>409</v>
      </c>
      <c r="N207" s="338" t="s">
        <v>417</v>
      </c>
      <c r="O207" s="338" t="s">
        <v>409</v>
      </c>
      <c r="P207" s="338" t="s">
        <v>443</v>
      </c>
    </row>
    <row r="208" spans="2:16" x14ac:dyDescent="0.25">
      <c r="B208" s="336" t="s">
        <v>416</v>
      </c>
      <c r="C208" s="337">
        <v>41590</v>
      </c>
      <c r="D208" s="338" t="s">
        <v>8289</v>
      </c>
      <c r="E208" s="338" t="s">
        <v>463</v>
      </c>
      <c r="F208" s="338"/>
      <c r="G208" s="338" t="s">
        <v>413</v>
      </c>
      <c r="H208" s="338" t="s">
        <v>412</v>
      </c>
      <c r="I208" s="338" t="s">
        <v>411</v>
      </c>
      <c r="J208" s="339"/>
      <c r="K208" s="339"/>
      <c r="L208" s="339" t="s">
        <v>409</v>
      </c>
      <c r="M208" s="339" t="s">
        <v>409</v>
      </c>
      <c r="N208" s="338"/>
      <c r="O208" s="338" t="s">
        <v>409</v>
      </c>
      <c r="P208" s="338" t="s">
        <v>417</v>
      </c>
    </row>
    <row r="209" spans="2:16" x14ac:dyDescent="0.25">
      <c r="B209" s="336" t="s">
        <v>416</v>
      </c>
      <c r="C209" s="337">
        <v>41589</v>
      </c>
      <c r="D209" s="338" t="s">
        <v>8288</v>
      </c>
      <c r="E209" s="338" t="s">
        <v>4114</v>
      </c>
      <c r="F209" s="338"/>
      <c r="G209" s="338" t="s">
        <v>413</v>
      </c>
      <c r="H209" s="338" t="s">
        <v>412</v>
      </c>
      <c r="I209" s="338" t="s">
        <v>411</v>
      </c>
      <c r="J209" s="339"/>
      <c r="K209" s="339"/>
      <c r="L209" s="339" t="s">
        <v>409</v>
      </c>
      <c r="M209" s="339" t="s">
        <v>409</v>
      </c>
      <c r="N209" s="338" t="s">
        <v>410</v>
      </c>
      <c r="O209" s="338" t="s">
        <v>409</v>
      </c>
      <c r="P209" s="338" t="s">
        <v>417</v>
      </c>
    </row>
    <row r="210" spans="2:16" x14ac:dyDescent="0.25">
      <c r="B210" s="336" t="s">
        <v>416</v>
      </c>
      <c r="C210" s="337">
        <v>41589</v>
      </c>
      <c r="D210" s="338" t="s">
        <v>8287</v>
      </c>
      <c r="E210" s="338" t="s">
        <v>8286</v>
      </c>
      <c r="F210" s="338" t="s">
        <v>8285</v>
      </c>
      <c r="G210" s="338" t="s">
        <v>413</v>
      </c>
      <c r="H210" s="338" t="s">
        <v>425</v>
      </c>
      <c r="I210" s="338" t="s">
        <v>411</v>
      </c>
      <c r="J210" s="339"/>
      <c r="K210" s="339"/>
      <c r="L210" s="339"/>
      <c r="M210" s="339"/>
      <c r="N210" s="338"/>
      <c r="O210" s="338" t="s">
        <v>410</v>
      </c>
      <c r="P210" s="338" t="s">
        <v>487</v>
      </c>
    </row>
    <row r="211" spans="2:16" x14ac:dyDescent="0.25">
      <c r="B211" s="336" t="s">
        <v>416</v>
      </c>
      <c r="C211" s="337">
        <v>41589</v>
      </c>
      <c r="D211" s="338" t="s">
        <v>8284</v>
      </c>
      <c r="E211" s="338" t="s">
        <v>8283</v>
      </c>
      <c r="F211" s="338"/>
      <c r="G211" s="338" t="s">
        <v>413</v>
      </c>
      <c r="H211" s="338" t="s">
        <v>425</v>
      </c>
      <c r="I211" s="338" t="s">
        <v>411</v>
      </c>
      <c r="J211" s="339"/>
      <c r="K211" s="339"/>
      <c r="L211" s="339" t="s">
        <v>409</v>
      </c>
      <c r="M211" s="339" t="s">
        <v>409</v>
      </c>
      <c r="N211" s="338"/>
      <c r="O211" s="338" t="s">
        <v>409</v>
      </c>
      <c r="P211" s="338" t="s">
        <v>410</v>
      </c>
    </row>
    <row r="212" spans="2:16" x14ac:dyDescent="0.25">
      <c r="B212" s="336" t="s">
        <v>416</v>
      </c>
      <c r="C212" s="337">
        <v>41587</v>
      </c>
      <c r="D212" s="338" t="s">
        <v>8282</v>
      </c>
      <c r="E212" s="338" t="s">
        <v>8281</v>
      </c>
      <c r="F212" s="338" t="s">
        <v>8280</v>
      </c>
      <c r="G212" s="338" t="s">
        <v>413</v>
      </c>
      <c r="H212" s="338" t="s">
        <v>425</v>
      </c>
      <c r="I212" s="338" t="s">
        <v>411</v>
      </c>
      <c r="J212" s="339"/>
      <c r="K212" s="339"/>
      <c r="L212" s="339"/>
      <c r="M212" s="339"/>
      <c r="N212" s="338"/>
      <c r="O212" s="338" t="s">
        <v>417</v>
      </c>
      <c r="P212" s="338" t="s">
        <v>443</v>
      </c>
    </row>
    <row r="213" spans="2:16" x14ac:dyDescent="0.25">
      <c r="B213" s="336" t="s">
        <v>416</v>
      </c>
      <c r="C213" s="337">
        <v>41586</v>
      </c>
      <c r="D213" s="338" t="s">
        <v>8279</v>
      </c>
      <c r="E213" s="338" t="s">
        <v>8278</v>
      </c>
      <c r="F213" s="338"/>
      <c r="G213" s="338">
        <v>104.86</v>
      </c>
      <c r="H213" s="338" t="s">
        <v>429</v>
      </c>
      <c r="I213" s="338" t="s">
        <v>411</v>
      </c>
      <c r="J213" s="339"/>
      <c r="K213" s="339"/>
      <c r="L213" s="339" t="s">
        <v>409</v>
      </c>
      <c r="M213" s="339" t="s">
        <v>409</v>
      </c>
      <c r="N213" s="338" t="s">
        <v>417</v>
      </c>
      <c r="O213" s="338" t="s">
        <v>409</v>
      </c>
      <c r="P213" s="338" t="s">
        <v>408</v>
      </c>
    </row>
    <row r="214" spans="2:16" x14ac:dyDescent="0.25">
      <c r="B214" s="336" t="s">
        <v>416</v>
      </c>
      <c r="C214" s="337">
        <v>41585</v>
      </c>
      <c r="D214" s="338" t="s">
        <v>8277</v>
      </c>
      <c r="E214" s="338" t="s">
        <v>598</v>
      </c>
      <c r="F214" s="338"/>
      <c r="G214" s="338" t="s">
        <v>413</v>
      </c>
      <c r="H214" s="338" t="s">
        <v>412</v>
      </c>
      <c r="I214" s="338" t="s">
        <v>411</v>
      </c>
      <c r="J214" s="339"/>
      <c r="K214" s="339"/>
      <c r="L214" s="339" t="s">
        <v>409</v>
      </c>
      <c r="M214" s="339" t="s">
        <v>409</v>
      </c>
      <c r="N214" s="338"/>
      <c r="O214" s="338" t="s">
        <v>409</v>
      </c>
      <c r="P214" s="338" t="s">
        <v>417</v>
      </c>
    </row>
    <row r="215" spans="2:16" x14ac:dyDescent="0.25">
      <c r="B215" s="336" t="s">
        <v>416</v>
      </c>
      <c r="C215" s="337">
        <v>41585</v>
      </c>
      <c r="D215" s="338" t="s">
        <v>8276</v>
      </c>
      <c r="E215" s="338" t="s">
        <v>6985</v>
      </c>
      <c r="F215" s="338" t="s">
        <v>8275</v>
      </c>
      <c r="G215" s="338" t="s">
        <v>413</v>
      </c>
      <c r="H215" s="338" t="s">
        <v>425</v>
      </c>
      <c r="I215" s="338" t="s">
        <v>1243</v>
      </c>
      <c r="J215" s="339"/>
      <c r="K215" s="339"/>
      <c r="L215" s="339"/>
      <c r="M215" s="339"/>
      <c r="N215" s="338"/>
      <c r="O215" s="338" t="s">
        <v>417</v>
      </c>
      <c r="P215" s="338" t="s">
        <v>417</v>
      </c>
    </row>
    <row r="216" spans="2:16" x14ac:dyDescent="0.25">
      <c r="B216" s="336" t="s">
        <v>459</v>
      </c>
      <c r="C216" s="337">
        <v>41585</v>
      </c>
      <c r="D216" s="338" t="s">
        <v>8274</v>
      </c>
      <c r="E216" s="338" t="s">
        <v>8273</v>
      </c>
      <c r="F216" s="338"/>
      <c r="G216" s="338">
        <v>10</v>
      </c>
      <c r="H216" s="338" t="s">
        <v>425</v>
      </c>
      <c r="I216" s="338" t="s">
        <v>411</v>
      </c>
      <c r="J216" s="339"/>
      <c r="K216" s="339"/>
      <c r="L216" s="339" t="s">
        <v>409</v>
      </c>
      <c r="M216" s="339" t="s">
        <v>409</v>
      </c>
      <c r="N216" s="338" t="s">
        <v>417</v>
      </c>
      <c r="O216" s="338" t="s">
        <v>409</v>
      </c>
      <c r="P216" s="338" t="s">
        <v>605</v>
      </c>
    </row>
    <row r="217" spans="2:16" x14ac:dyDescent="0.25">
      <c r="B217" s="336" t="s">
        <v>416</v>
      </c>
      <c r="C217" s="337">
        <v>41584</v>
      </c>
      <c r="D217" s="338" t="s">
        <v>8272</v>
      </c>
      <c r="E217" s="338" t="s">
        <v>874</v>
      </c>
      <c r="F217" s="338"/>
      <c r="G217" s="338" t="s">
        <v>413</v>
      </c>
      <c r="H217" s="338" t="s">
        <v>412</v>
      </c>
      <c r="I217" s="338" t="s">
        <v>411</v>
      </c>
      <c r="J217" s="339"/>
      <c r="K217" s="339"/>
      <c r="L217" s="339" t="s">
        <v>409</v>
      </c>
      <c r="M217" s="339" t="s">
        <v>409</v>
      </c>
      <c r="N217" s="338" t="s">
        <v>410</v>
      </c>
      <c r="O217" s="338" t="s">
        <v>409</v>
      </c>
      <c r="P217" s="338" t="s">
        <v>417</v>
      </c>
    </row>
    <row r="218" spans="2:16" x14ac:dyDescent="0.25">
      <c r="B218" s="336" t="s">
        <v>416</v>
      </c>
      <c r="C218" s="337">
        <v>41583</v>
      </c>
      <c r="D218" s="338" t="s">
        <v>8271</v>
      </c>
      <c r="E218" s="338" t="s">
        <v>8049</v>
      </c>
      <c r="F218" s="338"/>
      <c r="G218" s="338">
        <v>0.56000000000000005</v>
      </c>
      <c r="H218" s="338" t="s">
        <v>425</v>
      </c>
      <c r="I218" s="338" t="s">
        <v>411</v>
      </c>
      <c r="J218" s="339"/>
      <c r="K218" s="339"/>
      <c r="L218" s="339" t="s">
        <v>409</v>
      </c>
      <c r="M218" s="339" t="s">
        <v>409</v>
      </c>
      <c r="N218" s="338" t="s">
        <v>417</v>
      </c>
      <c r="O218" s="338" t="s">
        <v>409</v>
      </c>
      <c r="P218" s="338" t="s">
        <v>443</v>
      </c>
    </row>
    <row r="219" spans="2:16" x14ac:dyDescent="0.25">
      <c r="B219" s="336" t="s">
        <v>416</v>
      </c>
      <c r="C219" s="337">
        <v>41582</v>
      </c>
      <c r="D219" s="338" t="s">
        <v>956</v>
      </c>
      <c r="E219" s="338" t="s">
        <v>1119</v>
      </c>
      <c r="F219" s="338" t="s">
        <v>8270</v>
      </c>
      <c r="G219" s="338">
        <v>31.75</v>
      </c>
      <c r="H219" s="338" t="s">
        <v>425</v>
      </c>
      <c r="I219" s="338" t="s">
        <v>411</v>
      </c>
      <c r="J219" s="339"/>
      <c r="K219" s="339"/>
      <c r="L219" s="339"/>
      <c r="M219" s="339"/>
      <c r="N219" s="338"/>
      <c r="O219" s="338" t="s">
        <v>417</v>
      </c>
      <c r="P219" s="338" t="s">
        <v>417</v>
      </c>
    </row>
    <row r="220" spans="2:16" x14ac:dyDescent="0.25">
      <c r="B220" s="336" t="s">
        <v>416</v>
      </c>
      <c r="C220" s="337">
        <v>41582</v>
      </c>
      <c r="D220" s="338" t="s">
        <v>8269</v>
      </c>
      <c r="E220" s="338" t="s">
        <v>8268</v>
      </c>
      <c r="F220" s="338" t="s">
        <v>8267</v>
      </c>
      <c r="G220" s="338" t="s">
        <v>413</v>
      </c>
      <c r="H220" s="338" t="s">
        <v>425</v>
      </c>
      <c r="I220" s="338" t="s">
        <v>411</v>
      </c>
      <c r="J220" s="339"/>
      <c r="K220" s="339"/>
      <c r="L220" s="339"/>
      <c r="M220" s="339"/>
      <c r="N220" s="338"/>
      <c r="O220" s="338" t="s">
        <v>410</v>
      </c>
      <c r="P220" s="338" t="s">
        <v>410</v>
      </c>
    </row>
    <row r="221" spans="2:16" x14ac:dyDescent="0.25">
      <c r="B221" s="336" t="s">
        <v>459</v>
      </c>
      <c r="C221" s="337">
        <v>41582</v>
      </c>
      <c r="D221" s="338" t="s">
        <v>8266</v>
      </c>
      <c r="E221" s="338" t="s">
        <v>8265</v>
      </c>
      <c r="F221" s="338"/>
      <c r="G221" s="338">
        <v>4.5</v>
      </c>
      <c r="H221" s="338" t="s">
        <v>425</v>
      </c>
      <c r="I221" s="338" t="s">
        <v>411</v>
      </c>
      <c r="J221" s="339"/>
      <c r="K221" s="339"/>
      <c r="L221" s="339" t="s">
        <v>409</v>
      </c>
      <c r="M221" s="339" t="s">
        <v>409</v>
      </c>
      <c r="N221" s="338" t="s">
        <v>417</v>
      </c>
      <c r="O221" s="338" t="s">
        <v>409</v>
      </c>
      <c r="P221" s="338"/>
    </row>
    <row r="222" spans="2:16" x14ac:dyDescent="0.25">
      <c r="B222" s="336" t="s">
        <v>416</v>
      </c>
      <c r="C222" s="337">
        <v>41582</v>
      </c>
      <c r="D222" s="338" t="s">
        <v>8264</v>
      </c>
      <c r="E222" s="338" t="s">
        <v>8263</v>
      </c>
      <c r="F222" s="338"/>
      <c r="G222" s="338" t="s">
        <v>413</v>
      </c>
      <c r="H222" s="338" t="s">
        <v>412</v>
      </c>
      <c r="I222" s="338" t="s">
        <v>411</v>
      </c>
      <c r="J222" s="339"/>
      <c r="K222" s="339"/>
      <c r="L222" s="339" t="s">
        <v>409</v>
      </c>
      <c r="M222" s="339" t="s">
        <v>409</v>
      </c>
      <c r="N222" s="338" t="s">
        <v>417</v>
      </c>
      <c r="O222" s="338" t="s">
        <v>409</v>
      </c>
      <c r="P222" s="338" t="s">
        <v>417</v>
      </c>
    </row>
    <row r="223" spans="2:16" x14ac:dyDescent="0.25">
      <c r="B223" s="336" t="s">
        <v>416</v>
      </c>
      <c r="C223" s="337">
        <v>41580</v>
      </c>
      <c r="D223" s="338" t="s">
        <v>956</v>
      </c>
      <c r="E223" s="338" t="s">
        <v>8262</v>
      </c>
      <c r="F223" s="338" t="s">
        <v>8261</v>
      </c>
      <c r="G223" s="338" t="s">
        <v>413</v>
      </c>
      <c r="H223" s="338" t="s">
        <v>425</v>
      </c>
      <c r="I223" s="338" t="s">
        <v>411</v>
      </c>
      <c r="J223" s="339"/>
      <c r="K223" s="339"/>
      <c r="L223" s="339"/>
      <c r="M223" s="339"/>
      <c r="N223" s="338"/>
      <c r="O223" s="338" t="s">
        <v>417</v>
      </c>
      <c r="P223" s="338" t="s">
        <v>417</v>
      </c>
    </row>
    <row r="224" spans="2:16" x14ac:dyDescent="0.25">
      <c r="B224" s="336" t="s">
        <v>416</v>
      </c>
      <c r="C224" s="337">
        <v>41579</v>
      </c>
      <c r="D224" s="338" t="s">
        <v>4852</v>
      </c>
      <c r="E224" s="338" t="s">
        <v>8260</v>
      </c>
      <c r="F224" s="338"/>
      <c r="G224" s="338" t="s">
        <v>413</v>
      </c>
      <c r="H224" s="338" t="s">
        <v>412</v>
      </c>
      <c r="I224" s="338" t="s">
        <v>411</v>
      </c>
      <c r="J224" s="339"/>
      <c r="K224" s="339"/>
      <c r="L224" s="339" t="s">
        <v>409</v>
      </c>
      <c r="M224" s="339" t="s">
        <v>409</v>
      </c>
      <c r="N224" s="338" t="s">
        <v>417</v>
      </c>
      <c r="O224" s="338" t="s">
        <v>409</v>
      </c>
      <c r="P224" s="338" t="s">
        <v>432</v>
      </c>
    </row>
    <row r="225" spans="2:16" x14ac:dyDescent="0.25">
      <c r="B225" s="336" t="s">
        <v>416</v>
      </c>
      <c r="C225" s="337">
        <v>41578</v>
      </c>
      <c r="D225" s="338" t="s">
        <v>8259</v>
      </c>
      <c r="E225" s="338" t="s">
        <v>8258</v>
      </c>
      <c r="F225" s="338"/>
      <c r="G225" s="338" t="s">
        <v>413</v>
      </c>
      <c r="H225" s="338" t="s">
        <v>412</v>
      </c>
      <c r="I225" s="338" t="s">
        <v>411</v>
      </c>
      <c r="J225" s="339"/>
      <c r="K225" s="339"/>
      <c r="L225" s="339" t="s">
        <v>409</v>
      </c>
      <c r="M225" s="339" t="s">
        <v>409</v>
      </c>
      <c r="N225" s="338" t="s">
        <v>432</v>
      </c>
      <c r="O225" s="338" t="s">
        <v>409</v>
      </c>
      <c r="P225" s="338" t="s">
        <v>605</v>
      </c>
    </row>
    <row r="226" spans="2:16" x14ac:dyDescent="0.25">
      <c r="B226" s="336" t="s">
        <v>416</v>
      </c>
      <c r="C226" s="337">
        <v>41576</v>
      </c>
      <c r="D226" s="338" t="s">
        <v>8257</v>
      </c>
      <c r="E226" s="338" t="s">
        <v>8256</v>
      </c>
      <c r="F226" s="338"/>
      <c r="G226" s="338">
        <v>3.75</v>
      </c>
      <c r="H226" s="338" t="s">
        <v>425</v>
      </c>
      <c r="I226" s="338" t="s">
        <v>411</v>
      </c>
      <c r="J226" s="339"/>
      <c r="K226" s="339"/>
      <c r="L226" s="339" t="s">
        <v>409</v>
      </c>
      <c r="M226" s="339" t="s">
        <v>409</v>
      </c>
      <c r="N226" s="338" t="s">
        <v>417</v>
      </c>
      <c r="O226" s="338" t="s">
        <v>409</v>
      </c>
      <c r="P226" s="338" t="s">
        <v>410</v>
      </c>
    </row>
    <row r="227" spans="2:16" x14ac:dyDescent="0.25">
      <c r="B227" s="336" t="s">
        <v>416</v>
      </c>
      <c r="C227" s="337">
        <v>41576</v>
      </c>
      <c r="D227" s="338" t="s">
        <v>6451</v>
      </c>
      <c r="E227" s="338" t="s">
        <v>1508</v>
      </c>
      <c r="F227" s="338" t="s">
        <v>672</v>
      </c>
      <c r="G227" s="338">
        <v>382.04</v>
      </c>
      <c r="H227" s="338" t="s">
        <v>425</v>
      </c>
      <c r="I227" s="338" t="s">
        <v>1243</v>
      </c>
      <c r="J227" s="339"/>
      <c r="K227" s="339"/>
      <c r="L227" s="339">
        <v>0.20780999999999999</v>
      </c>
      <c r="M227" s="339"/>
      <c r="N227" s="338"/>
      <c r="O227" s="338" t="s">
        <v>417</v>
      </c>
      <c r="P227" s="338" t="s">
        <v>443</v>
      </c>
    </row>
    <row r="228" spans="2:16" x14ac:dyDescent="0.25">
      <c r="B228" s="336" t="s">
        <v>416</v>
      </c>
      <c r="C228" s="337">
        <v>41576</v>
      </c>
      <c r="D228" s="338" t="s">
        <v>8255</v>
      </c>
      <c r="E228" s="338" t="s">
        <v>4571</v>
      </c>
      <c r="F228" s="338"/>
      <c r="G228" s="338" t="s">
        <v>413</v>
      </c>
      <c r="H228" s="338" t="s">
        <v>412</v>
      </c>
      <c r="I228" s="338" t="s">
        <v>411</v>
      </c>
      <c r="J228" s="339"/>
      <c r="K228" s="339"/>
      <c r="L228" s="339" t="s">
        <v>409</v>
      </c>
      <c r="M228" s="339" t="s">
        <v>409</v>
      </c>
      <c r="N228" s="338" t="s">
        <v>417</v>
      </c>
      <c r="O228" s="338" t="s">
        <v>409</v>
      </c>
      <c r="P228" s="338" t="s">
        <v>432</v>
      </c>
    </row>
    <row r="229" spans="2:16" x14ac:dyDescent="0.25">
      <c r="B229" s="336" t="s">
        <v>416</v>
      </c>
      <c r="C229" s="337">
        <v>41576</v>
      </c>
      <c r="D229" s="338" t="s">
        <v>8254</v>
      </c>
      <c r="E229" s="338" t="s">
        <v>4114</v>
      </c>
      <c r="F229" s="338"/>
      <c r="G229" s="338" t="s">
        <v>413</v>
      </c>
      <c r="H229" s="338" t="s">
        <v>412</v>
      </c>
      <c r="I229" s="338" t="s">
        <v>411</v>
      </c>
      <c r="J229" s="339"/>
      <c r="K229" s="339"/>
      <c r="L229" s="339" t="s">
        <v>409</v>
      </c>
      <c r="M229" s="339" t="s">
        <v>409</v>
      </c>
      <c r="N229" s="338" t="s">
        <v>410</v>
      </c>
      <c r="O229" s="338" t="s">
        <v>409</v>
      </c>
      <c r="P229" s="338" t="s">
        <v>417</v>
      </c>
    </row>
    <row r="230" spans="2:16" x14ac:dyDescent="0.25">
      <c r="B230" s="336" t="s">
        <v>416</v>
      </c>
      <c r="C230" s="337">
        <v>41575</v>
      </c>
      <c r="D230" s="338" t="s">
        <v>8253</v>
      </c>
      <c r="E230" s="338" t="s">
        <v>8252</v>
      </c>
      <c r="F230" s="338"/>
      <c r="G230" s="338" t="s">
        <v>413</v>
      </c>
      <c r="H230" s="338" t="s">
        <v>425</v>
      </c>
      <c r="I230" s="338" t="s">
        <v>411</v>
      </c>
      <c r="J230" s="339"/>
      <c r="K230" s="339"/>
      <c r="L230" s="339" t="s">
        <v>409</v>
      </c>
      <c r="M230" s="339" t="s">
        <v>409</v>
      </c>
      <c r="N230" s="338"/>
      <c r="O230" s="338" t="s">
        <v>409</v>
      </c>
      <c r="P230" s="338" t="s">
        <v>543</v>
      </c>
    </row>
    <row r="231" spans="2:16" x14ac:dyDescent="0.25">
      <c r="B231" s="336" t="s">
        <v>416</v>
      </c>
      <c r="C231" s="337">
        <v>41572</v>
      </c>
      <c r="D231" s="338" t="s">
        <v>4329</v>
      </c>
      <c r="E231" s="338" t="s">
        <v>8251</v>
      </c>
      <c r="F231" s="338" t="s">
        <v>4328</v>
      </c>
      <c r="G231" s="338">
        <v>70.7</v>
      </c>
      <c r="H231" s="338" t="s">
        <v>429</v>
      </c>
      <c r="I231" s="338" t="s">
        <v>411</v>
      </c>
      <c r="J231" s="339"/>
      <c r="K231" s="339"/>
      <c r="L231" s="339"/>
      <c r="M231" s="339"/>
      <c r="N231" s="338" t="s">
        <v>417</v>
      </c>
      <c r="O231" s="338"/>
      <c r="P231" s="338" t="s">
        <v>410</v>
      </c>
    </row>
    <row r="232" spans="2:16" x14ac:dyDescent="0.25">
      <c r="B232" s="336" t="s">
        <v>416</v>
      </c>
      <c r="C232" s="337">
        <v>41571</v>
      </c>
      <c r="D232" s="338" t="s">
        <v>8250</v>
      </c>
      <c r="E232" s="338" t="s">
        <v>598</v>
      </c>
      <c r="F232" s="338"/>
      <c r="G232" s="338" t="s">
        <v>413</v>
      </c>
      <c r="H232" s="338" t="s">
        <v>412</v>
      </c>
      <c r="I232" s="338" t="s">
        <v>411</v>
      </c>
      <c r="J232" s="339"/>
      <c r="K232" s="339"/>
      <c r="L232" s="339" t="s">
        <v>409</v>
      </c>
      <c r="M232" s="339" t="s">
        <v>409</v>
      </c>
      <c r="N232" s="338"/>
      <c r="O232" s="338" t="s">
        <v>409</v>
      </c>
      <c r="P232" s="338" t="s">
        <v>417</v>
      </c>
    </row>
    <row r="233" spans="2:16" x14ac:dyDescent="0.25">
      <c r="B233" s="336" t="s">
        <v>416</v>
      </c>
      <c r="C233" s="337">
        <v>41571</v>
      </c>
      <c r="D233" s="338" t="s">
        <v>3096</v>
      </c>
      <c r="E233" s="338" t="s">
        <v>8249</v>
      </c>
      <c r="F233" s="338"/>
      <c r="G233" s="338">
        <v>133.80000000000001</v>
      </c>
      <c r="H233" s="338" t="s">
        <v>425</v>
      </c>
      <c r="I233" s="338" t="s">
        <v>411</v>
      </c>
      <c r="J233" s="339"/>
      <c r="K233" s="339"/>
      <c r="L233" s="339" t="s">
        <v>409</v>
      </c>
      <c r="M233" s="339" t="s">
        <v>409</v>
      </c>
      <c r="N233" s="338"/>
      <c r="O233" s="338" t="s">
        <v>409</v>
      </c>
      <c r="P233" s="338" t="s">
        <v>443</v>
      </c>
    </row>
    <row r="234" spans="2:16" x14ac:dyDescent="0.25">
      <c r="B234" s="336" t="s">
        <v>416</v>
      </c>
      <c r="C234" s="337">
        <v>41570</v>
      </c>
      <c r="D234" s="338" t="s">
        <v>3488</v>
      </c>
      <c r="E234" s="338" t="s">
        <v>6985</v>
      </c>
      <c r="F234" s="338" t="s">
        <v>8248</v>
      </c>
      <c r="G234" s="338" t="s">
        <v>413</v>
      </c>
      <c r="H234" s="338" t="s">
        <v>429</v>
      </c>
      <c r="I234" s="338" t="s">
        <v>411</v>
      </c>
      <c r="J234" s="339"/>
      <c r="K234" s="339"/>
      <c r="L234" s="339"/>
      <c r="M234" s="339"/>
      <c r="N234" s="338"/>
      <c r="O234" s="338" t="s">
        <v>417</v>
      </c>
      <c r="P234" s="338" t="s">
        <v>417</v>
      </c>
    </row>
    <row r="235" spans="2:16" x14ac:dyDescent="0.25">
      <c r="B235" s="336" t="s">
        <v>416</v>
      </c>
      <c r="C235" s="337">
        <v>41570</v>
      </c>
      <c r="D235" s="338" t="s">
        <v>8247</v>
      </c>
      <c r="E235" s="338" t="s">
        <v>8246</v>
      </c>
      <c r="F235" s="338" t="s">
        <v>1367</v>
      </c>
      <c r="G235" s="338" t="s">
        <v>413</v>
      </c>
      <c r="H235" s="338" t="s">
        <v>412</v>
      </c>
      <c r="I235" s="338" t="s">
        <v>411</v>
      </c>
      <c r="J235" s="339"/>
      <c r="K235" s="339"/>
      <c r="L235" s="339">
        <v>1.10145</v>
      </c>
      <c r="M235" s="339">
        <v>29.2148</v>
      </c>
      <c r="N235" s="338" t="s">
        <v>417</v>
      </c>
      <c r="O235" s="338" t="s">
        <v>417</v>
      </c>
      <c r="P235" s="338"/>
    </row>
    <row r="236" spans="2:16" x14ac:dyDescent="0.25">
      <c r="B236" s="336" t="s">
        <v>416</v>
      </c>
      <c r="C236" s="337">
        <v>41569</v>
      </c>
      <c r="D236" s="338" t="s">
        <v>5136</v>
      </c>
      <c r="E236" s="338" t="s">
        <v>8245</v>
      </c>
      <c r="F236" s="338"/>
      <c r="G236" s="338" t="s">
        <v>413</v>
      </c>
      <c r="H236" s="338" t="s">
        <v>412</v>
      </c>
      <c r="I236" s="338" t="s">
        <v>411</v>
      </c>
      <c r="J236" s="339"/>
      <c r="K236" s="339"/>
      <c r="L236" s="339" t="s">
        <v>409</v>
      </c>
      <c r="M236" s="339" t="s">
        <v>409</v>
      </c>
      <c r="N236" s="338" t="s">
        <v>417</v>
      </c>
      <c r="O236" s="338" t="s">
        <v>409</v>
      </c>
      <c r="P236" s="338" t="s">
        <v>432</v>
      </c>
    </row>
    <row r="237" spans="2:16" x14ac:dyDescent="0.25">
      <c r="B237" s="336" t="s">
        <v>416</v>
      </c>
      <c r="C237" s="337">
        <v>41569</v>
      </c>
      <c r="D237" s="338" t="s">
        <v>8244</v>
      </c>
      <c r="E237" s="338" t="s">
        <v>5698</v>
      </c>
      <c r="F237" s="338"/>
      <c r="G237" s="338" t="s">
        <v>413</v>
      </c>
      <c r="H237" s="338" t="s">
        <v>412</v>
      </c>
      <c r="I237" s="338" t="s">
        <v>411</v>
      </c>
      <c r="J237" s="339"/>
      <c r="K237" s="339"/>
      <c r="L237" s="339" t="s">
        <v>409</v>
      </c>
      <c r="M237" s="339" t="s">
        <v>409</v>
      </c>
      <c r="N237" s="338" t="s">
        <v>417</v>
      </c>
      <c r="O237" s="338" t="s">
        <v>409</v>
      </c>
      <c r="P237" s="338" t="s">
        <v>443</v>
      </c>
    </row>
    <row r="238" spans="2:16" x14ac:dyDescent="0.25">
      <c r="B238" s="336" t="s">
        <v>416</v>
      </c>
      <c r="C238" s="337">
        <v>41568</v>
      </c>
      <c r="D238" s="338" t="s">
        <v>8243</v>
      </c>
      <c r="E238" s="338" t="s">
        <v>8238</v>
      </c>
      <c r="F238" s="338"/>
      <c r="G238" s="338" t="s">
        <v>413</v>
      </c>
      <c r="H238" s="338" t="s">
        <v>412</v>
      </c>
      <c r="I238" s="338" t="s">
        <v>411</v>
      </c>
      <c r="J238" s="339"/>
      <c r="K238" s="339"/>
      <c r="L238" s="339" t="s">
        <v>409</v>
      </c>
      <c r="M238" s="339" t="s">
        <v>409</v>
      </c>
      <c r="N238" s="338" t="s">
        <v>417</v>
      </c>
      <c r="O238" s="338" t="s">
        <v>409</v>
      </c>
      <c r="P238" s="338" t="s">
        <v>417</v>
      </c>
    </row>
    <row r="239" spans="2:16" x14ac:dyDescent="0.25">
      <c r="B239" s="336" t="s">
        <v>416</v>
      </c>
      <c r="C239" s="337">
        <v>41568</v>
      </c>
      <c r="D239" s="338" t="s">
        <v>8242</v>
      </c>
      <c r="E239" s="338" t="s">
        <v>8238</v>
      </c>
      <c r="F239" s="338"/>
      <c r="G239" s="338" t="s">
        <v>413</v>
      </c>
      <c r="H239" s="338" t="s">
        <v>412</v>
      </c>
      <c r="I239" s="338" t="s">
        <v>411</v>
      </c>
      <c r="J239" s="339"/>
      <c r="K239" s="339"/>
      <c r="L239" s="339" t="s">
        <v>409</v>
      </c>
      <c r="M239" s="339" t="s">
        <v>409</v>
      </c>
      <c r="N239" s="338" t="s">
        <v>410</v>
      </c>
      <c r="O239" s="338" t="s">
        <v>409</v>
      </c>
      <c r="P239" s="338" t="s">
        <v>417</v>
      </c>
    </row>
    <row r="240" spans="2:16" x14ac:dyDescent="0.25">
      <c r="B240" s="336" t="s">
        <v>416</v>
      </c>
      <c r="C240" s="337">
        <v>41568</v>
      </c>
      <c r="D240" s="338" t="s">
        <v>8241</v>
      </c>
      <c r="E240" s="338" t="s">
        <v>8240</v>
      </c>
      <c r="F240" s="338"/>
      <c r="G240" s="338" t="s">
        <v>413</v>
      </c>
      <c r="H240" s="338" t="s">
        <v>412</v>
      </c>
      <c r="I240" s="338" t="s">
        <v>411</v>
      </c>
      <c r="J240" s="339"/>
      <c r="K240" s="339"/>
      <c r="L240" s="339" t="s">
        <v>409</v>
      </c>
      <c r="M240" s="339" t="s">
        <v>409</v>
      </c>
      <c r="N240" s="338" t="s">
        <v>417</v>
      </c>
      <c r="O240" s="338" t="s">
        <v>409</v>
      </c>
      <c r="P240" s="338" t="s">
        <v>410</v>
      </c>
    </row>
    <row r="241" spans="2:16" x14ac:dyDescent="0.25">
      <c r="B241" s="336" t="s">
        <v>416</v>
      </c>
      <c r="C241" s="337">
        <v>41568</v>
      </c>
      <c r="D241" s="338" t="s">
        <v>8239</v>
      </c>
      <c r="E241" s="338" t="s">
        <v>8238</v>
      </c>
      <c r="F241" s="338"/>
      <c r="G241" s="338" t="s">
        <v>413</v>
      </c>
      <c r="H241" s="338" t="s">
        <v>412</v>
      </c>
      <c r="I241" s="338" t="s">
        <v>411</v>
      </c>
      <c r="J241" s="339"/>
      <c r="K241" s="339"/>
      <c r="L241" s="339" t="s">
        <v>409</v>
      </c>
      <c r="M241" s="339" t="s">
        <v>409</v>
      </c>
      <c r="N241" s="338" t="s">
        <v>417</v>
      </c>
      <c r="O241" s="338" t="s">
        <v>409</v>
      </c>
      <c r="P241" s="338" t="s">
        <v>417</v>
      </c>
    </row>
    <row r="242" spans="2:16" x14ac:dyDescent="0.25">
      <c r="B242" s="336" t="s">
        <v>416</v>
      </c>
      <c r="C242" s="337">
        <v>41565</v>
      </c>
      <c r="D242" s="338" t="s">
        <v>8237</v>
      </c>
      <c r="E242" s="338" t="s">
        <v>8236</v>
      </c>
      <c r="F242" s="338"/>
      <c r="G242" s="338" t="s">
        <v>413</v>
      </c>
      <c r="H242" s="338" t="s">
        <v>412</v>
      </c>
      <c r="I242" s="338" t="s">
        <v>411</v>
      </c>
      <c r="J242" s="339"/>
      <c r="K242" s="339"/>
      <c r="L242" s="339" t="s">
        <v>409</v>
      </c>
      <c r="M242" s="339" t="s">
        <v>409</v>
      </c>
      <c r="N242" s="338" t="s">
        <v>417</v>
      </c>
      <c r="O242" s="338" t="s">
        <v>409</v>
      </c>
      <c r="P242" s="338" t="s">
        <v>410</v>
      </c>
    </row>
    <row r="243" spans="2:16" x14ac:dyDescent="0.25">
      <c r="B243" s="336" t="s">
        <v>416</v>
      </c>
      <c r="C243" s="337">
        <v>41565</v>
      </c>
      <c r="D243" s="338" t="s">
        <v>956</v>
      </c>
      <c r="E243" s="338" t="s">
        <v>8235</v>
      </c>
      <c r="F243" s="338" t="s">
        <v>8234</v>
      </c>
      <c r="G243" s="338" t="s">
        <v>413</v>
      </c>
      <c r="H243" s="338" t="s">
        <v>425</v>
      </c>
      <c r="I243" s="338" t="s">
        <v>1243</v>
      </c>
      <c r="J243" s="339"/>
      <c r="K243" s="339"/>
      <c r="L243" s="339"/>
      <c r="M243" s="339"/>
      <c r="N243" s="338"/>
      <c r="O243" s="338" t="s">
        <v>417</v>
      </c>
      <c r="P243" s="338" t="s">
        <v>410</v>
      </c>
    </row>
    <row r="244" spans="2:16" x14ac:dyDescent="0.25">
      <c r="B244" s="336" t="s">
        <v>416</v>
      </c>
      <c r="C244" s="337">
        <v>41564</v>
      </c>
      <c r="D244" s="338" t="s">
        <v>8233</v>
      </c>
      <c r="E244" s="338" t="s">
        <v>795</v>
      </c>
      <c r="F244" s="338" t="s">
        <v>1386</v>
      </c>
      <c r="G244" s="338">
        <v>51.5</v>
      </c>
      <c r="H244" s="338" t="s">
        <v>425</v>
      </c>
      <c r="I244" s="338" t="s">
        <v>411</v>
      </c>
      <c r="J244" s="339"/>
      <c r="K244" s="339"/>
      <c r="L244" s="339">
        <v>0.55317400000000005</v>
      </c>
      <c r="M244" s="339">
        <v>14.858700000000001</v>
      </c>
      <c r="N244" s="338"/>
      <c r="O244" s="338" t="s">
        <v>417</v>
      </c>
      <c r="P244" s="338" t="s">
        <v>432</v>
      </c>
    </row>
    <row r="245" spans="2:16" x14ac:dyDescent="0.25">
      <c r="B245" s="336" t="s">
        <v>416</v>
      </c>
      <c r="C245" s="337">
        <v>41563</v>
      </c>
      <c r="D245" s="338" t="s">
        <v>8232</v>
      </c>
      <c r="E245" s="338" t="s">
        <v>8231</v>
      </c>
      <c r="F245" s="338" t="s">
        <v>5535</v>
      </c>
      <c r="G245" s="338" t="s">
        <v>413</v>
      </c>
      <c r="H245" s="338" t="s">
        <v>425</v>
      </c>
      <c r="I245" s="338" t="s">
        <v>411</v>
      </c>
      <c r="J245" s="339"/>
      <c r="K245" s="339"/>
      <c r="L245" s="339"/>
      <c r="M245" s="339"/>
      <c r="N245" s="338"/>
      <c r="O245" s="338" t="s">
        <v>605</v>
      </c>
      <c r="P245" s="338" t="s">
        <v>410</v>
      </c>
    </row>
    <row r="246" spans="2:16" x14ac:dyDescent="0.25">
      <c r="B246" s="336" t="s">
        <v>416</v>
      </c>
      <c r="C246" s="337">
        <v>41563</v>
      </c>
      <c r="D246" s="338" t="s">
        <v>8230</v>
      </c>
      <c r="E246" s="338" t="s">
        <v>1422</v>
      </c>
      <c r="F246" s="338"/>
      <c r="G246" s="338">
        <v>2040</v>
      </c>
      <c r="H246" s="338" t="s">
        <v>425</v>
      </c>
      <c r="I246" s="338" t="s">
        <v>411</v>
      </c>
      <c r="J246" s="339"/>
      <c r="K246" s="339"/>
      <c r="L246" s="339" t="s">
        <v>409</v>
      </c>
      <c r="M246" s="339" t="s">
        <v>409</v>
      </c>
      <c r="N246" s="338" t="s">
        <v>417</v>
      </c>
      <c r="O246" s="338" t="s">
        <v>409</v>
      </c>
      <c r="P246" s="338" t="s">
        <v>417</v>
      </c>
    </row>
    <row r="247" spans="2:16" x14ac:dyDescent="0.25">
      <c r="B247" s="336" t="s">
        <v>416</v>
      </c>
      <c r="C247" s="337">
        <v>41562</v>
      </c>
      <c r="D247" s="338" t="s">
        <v>822</v>
      </c>
      <c r="E247" s="338" t="s">
        <v>862</v>
      </c>
      <c r="F247" s="338" t="s">
        <v>468</v>
      </c>
      <c r="G247" s="338" t="s">
        <v>413</v>
      </c>
      <c r="H247" s="338" t="s">
        <v>425</v>
      </c>
      <c r="I247" s="338" t="s">
        <v>411</v>
      </c>
      <c r="J247" s="339"/>
      <c r="K247" s="339"/>
      <c r="L247" s="339"/>
      <c r="M247" s="339"/>
      <c r="N247" s="338" t="s">
        <v>417</v>
      </c>
      <c r="O247" s="338" t="s">
        <v>443</v>
      </c>
      <c r="P247" s="338" t="s">
        <v>443</v>
      </c>
    </row>
    <row r="248" spans="2:16" x14ac:dyDescent="0.25">
      <c r="B248" s="336" t="s">
        <v>416</v>
      </c>
      <c r="C248" s="337">
        <v>41562</v>
      </c>
      <c r="D248" s="338" t="s">
        <v>3488</v>
      </c>
      <c r="E248" s="338" t="s">
        <v>2686</v>
      </c>
      <c r="F248" s="338"/>
      <c r="G248" s="338">
        <v>222</v>
      </c>
      <c r="H248" s="338" t="s">
        <v>425</v>
      </c>
      <c r="I248" s="338" t="s">
        <v>1243</v>
      </c>
      <c r="J248" s="339"/>
      <c r="K248" s="339"/>
      <c r="L248" s="339" t="s">
        <v>409</v>
      </c>
      <c r="M248" s="339" t="s">
        <v>409</v>
      </c>
      <c r="N248" s="338"/>
      <c r="O248" s="338" t="s">
        <v>409</v>
      </c>
      <c r="P248" s="338" t="s">
        <v>417</v>
      </c>
    </row>
    <row r="249" spans="2:16" x14ac:dyDescent="0.25">
      <c r="B249" s="336" t="s">
        <v>416</v>
      </c>
      <c r="C249" s="337">
        <v>41561</v>
      </c>
      <c r="D249" s="338" t="s">
        <v>8229</v>
      </c>
      <c r="E249" s="338" t="s">
        <v>8038</v>
      </c>
      <c r="F249" s="338"/>
      <c r="G249" s="338" t="s">
        <v>413</v>
      </c>
      <c r="H249" s="338" t="s">
        <v>412</v>
      </c>
      <c r="I249" s="338" t="s">
        <v>1243</v>
      </c>
      <c r="J249" s="339"/>
      <c r="K249" s="339"/>
      <c r="L249" s="339" t="s">
        <v>409</v>
      </c>
      <c r="M249" s="339" t="s">
        <v>409</v>
      </c>
      <c r="N249" s="338" t="s">
        <v>417</v>
      </c>
      <c r="O249" s="338" t="s">
        <v>409</v>
      </c>
      <c r="P249" s="338" t="s">
        <v>432</v>
      </c>
    </row>
    <row r="250" spans="2:16" x14ac:dyDescent="0.25">
      <c r="B250" s="336" t="s">
        <v>416</v>
      </c>
      <c r="C250" s="337">
        <v>41560</v>
      </c>
      <c r="D250" s="338" t="s">
        <v>8228</v>
      </c>
      <c r="E250" s="338" t="s">
        <v>8227</v>
      </c>
      <c r="F250" s="338"/>
      <c r="G250" s="338" t="s">
        <v>413</v>
      </c>
      <c r="H250" s="338" t="s">
        <v>412</v>
      </c>
      <c r="I250" s="338" t="s">
        <v>411</v>
      </c>
      <c r="J250" s="339"/>
      <c r="K250" s="339"/>
      <c r="L250" s="339" t="s">
        <v>409</v>
      </c>
      <c r="M250" s="339" t="s">
        <v>409</v>
      </c>
      <c r="N250" s="338" t="s">
        <v>417</v>
      </c>
      <c r="O250" s="338" t="s">
        <v>409</v>
      </c>
      <c r="P250" s="338" t="s">
        <v>487</v>
      </c>
    </row>
    <row r="251" spans="2:16" x14ac:dyDescent="0.25">
      <c r="B251" s="336" t="s">
        <v>416</v>
      </c>
      <c r="C251" s="337">
        <v>41558</v>
      </c>
      <c r="D251" s="338" t="s">
        <v>8226</v>
      </c>
      <c r="E251" s="338" t="s">
        <v>8225</v>
      </c>
      <c r="F251" s="338"/>
      <c r="G251" s="338" t="s">
        <v>413</v>
      </c>
      <c r="H251" s="338" t="s">
        <v>412</v>
      </c>
      <c r="I251" s="338" t="s">
        <v>411</v>
      </c>
      <c r="J251" s="339"/>
      <c r="K251" s="339"/>
      <c r="L251" s="339" t="s">
        <v>409</v>
      </c>
      <c r="M251" s="339" t="s">
        <v>409</v>
      </c>
      <c r="N251" s="338" t="s">
        <v>417</v>
      </c>
      <c r="O251" s="338" t="s">
        <v>409</v>
      </c>
      <c r="P251" s="338" t="s">
        <v>417</v>
      </c>
    </row>
    <row r="252" spans="2:16" x14ac:dyDescent="0.25">
      <c r="B252" s="336" t="s">
        <v>416</v>
      </c>
      <c r="C252" s="337">
        <v>41557</v>
      </c>
      <c r="D252" s="338" t="s">
        <v>8224</v>
      </c>
      <c r="E252" s="338" t="s">
        <v>7174</v>
      </c>
      <c r="F252" s="338" t="s">
        <v>8223</v>
      </c>
      <c r="G252" s="338">
        <v>3.34</v>
      </c>
      <c r="H252" s="338" t="s">
        <v>425</v>
      </c>
      <c r="I252" s="338" t="s">
        <v>411</v>
      </c>
      <c r="J252" s="339"/>
      <c r="K252" s="339"/>
      <c r="L252" s="339">
        <v>0.42141400000000001</v>
      </c>
      <c r="M252" s="339"/>
      <c r="N252" s="338"/>
      <c r="O252" s="338" t="s">
        <v>408</v>
      </c>
      <c r="P252" s="338" t="s">
        <v>417</v>
      </c>
    </row>
    <row r="253" spans="2:16" x14ac:dyDescent="0.25">
      <c r="B253" s="336" t="s">
        <v>416</v>
      </c>
      <c r="C253" s="337">
        <v>41557</v>
      </c>
      <c r="D253" s="338" t="s">
        <v>8222</v>
      </c>
      <c r="E253" s="338" t="s">
        <v>1175</v>
      </c>
      <c r="F253" s="338"/>
      <c r="G253" s="338" t="s">
        <v>413</v>
      </c>
      <c r="H253" s="338" t="s">
        <v>412</v>
      </c>
      <c r="I253" s="338" t="s">
        <v>1243</v>
      </c>
      <c r="J253" s="339"/>
      <c r="K253" s="339"/>
      <c r="L253" s="339" t="s">
        <v>409</v>
      </c>
      <c r="M253" s="339" t="s">
        <v>409</v>
      </c>
      <c r="N253" s="338"/>
      <c r="O253" s="338" t="s">
        <v>409</v>
      </c>
      <c r="P253" s="338" t="s">
        <v>417</v>
      </c>
    </row>
    <row r="254" spans="2:16" x14ac:dyDescent="0.25">
      <c r="B254" s="336" t="s">
        <v>416</v>
      </c>
      <c r="C254" s="337">
        <v>41557</v>
      </c>
      <c r="D254" s="338" t="s">
        <v>8221</v>
      </c>
      <c r="E254" s="338" t="s">
        <v>7614</v>
      </c>
      <c r="F254" s="338" t="s">
        <v>8220</v>
      </c>
      <c r="G254" s="338" t="s">
        <v>413</v>
      </c>
      <c r="H254" s="338" t="s">
        <v>425</v>
      </c>
      <c r="I254" s="338" t="s">
        <v>411</v>
      </c>
      <c r="J254" s="339"/>
      <c r="K254" s="339"/>
      <c r="L254" s="339">
        <v>0.18332200000000001</v>
      </c>
      <c r="M254" s="339">
        <v>4.3496899999999998</v>
      </c>
      <c r="N254" s="338"/>
      <c r="O254" s="338" t="s">
        <v>410</v>
      </c>
      <c r="P254" s="338" t="s">
        <v>417</v>
      </c>
    </row>
    <row r="255" spans="2:16" x14ac:dyDescent="0.25">
      <c r="B255" s="336" t="s">
        <v>459</v>
      </c>
      <c r="C255" s="337">
        <v>41556</v>
      </c>
      <c r="D255" s="338" t="s">
        <v>8219</v>
      </c>
      <c r="E255" s="338" t="s">
        <v>8218</v>
      </c>
      <c r="F255" s="338"/>
      <c r="G255" s="338">
        <v>2.75</v>
      </c>
      <c r="H255" s="338" t="s">
        <v>425</v>
      </c>
      <c r="I255" s="338" t="s">
        <v>411</v>
      </c>
      <c r="J255" s="339"/>
      <c r="K255" s="339"/>
      <c r="L255" s="339" t="s">
        <v>409</v>
      </c>
      <c r="M255" s="339" t="s">
        <v>409</v>
      </c>
      <c r="N255" s="338"/>
      <c r="O255" s="338" t="s">
        <v>409</v>
      </c>
      <c r="P255" s="338"/>
    </row>
    <row r="256" spans="2:16" x14ac:dyDescent="0.25">
      <c r="B256" s="336" t="s">
        <v>459</v>
      </c>
      <c r="C256" s="337">
        <v>41556</v>
      </c>
      <c r="D256" s="338" t="s">
        <v>8217</v>
      </c>
      <c r="E256" s="338" t="s">
        <v>8216</v>
      </c>
      <c r="F256" s="338"/>
      <c r="G256" s="338">
        <v>2.75</v>
      </c>
      <c r="H256" s="338" t="s">
        <v>425</v>
      </c>
      <c r="I256" s="338" t="s">
        <v>411</v>
      </c>
      <c r="J256" s="339"/>
      <c r="K256" s="339"/>
      <c r="L256" s="339" t="s">
        <v>409</v>
      </c>
      <c r="M256" s="339" t="s">
        <v>409</v>
      </c>
      <c r="N256" s="338" t="s">
        <v>417</v>
      </c>
      <c r="O256" s="338" t="s">
        <v>409</v>
      </c>
      <c r="P256" s="338"/>
    </row>
    <row r="257" spans="2:16" x14ac:dyDescent="0.25">
      <c r="B257" s="336" t="s">
        <v>416</v>
      </c>
      <c r="C257" s="337">
        <v>41556</v>
      </c>
      <c r="D257" s="338" t="s">
        <v>8215</v>
      </c>
      <c r="E257" s="338" t="s">
        <v>8214</v>
      </c>
      <c r="F257" s="338"/>
      <c r="G257" s="338" t="s">
        <v>413</v>
      </c>
      <c r="H257" s="338" t="s">
        <v>412</v>
      </c>
      <c r="I257" s="338" t="s">
        <v>411</v>
      </c>
      <c r="J257" s="339"/>
      <c r="K257" s="339"/>
      <c r="L257" s="339" t="s">
        <v>409</v>
      </c>
      <c r="M257" s="339" t="s">
        <v>409</v>
      </c>
      <c r="N257" s="338" t="s">
        <v>417</v>
      </c>
      <c r="O257" s="338" t="s">
        <v>409</v>
      </c>
      <c r="P257" s="338" t="s">
        <v>443</v>
      </c>
    </row>
    <row r="258" spans="2:16" x14ac:dyDescent="0.25">
      <c r="B258" s="336" t="s">
        <v>416</v>
      </c>
      <c r="C258" s="337">
        <v>41555</v>
      </c>
      <c r="D258" s="338" t="s">
        <v>8213</v>
      </c>
      <c r="E258" s="338" t="s">
        <v>8212</v>
      </c>
      <c r="F258" s="338"/>
      <c r="G258" s="338" t="s">
        <v>413</v>
      </c>
      <c r="H258" s="338" t="s">
        <v>412</v>
      </c>
      <c r="I258" s="338" t="s">
        <v>411</v>
      </c>
      <c r="J258" s="339"/>
      <c r="K258" s="339"/>
      <c r="L258" s="339" t="s">
        <v>409</v>
      </c>
      <c r="M258" s="339" t="s">
        <v>409</v>
      </c>
      <c r="N258" s="338" t="s">
        <v>417</v>
      </c>
      <c r="O258" s="338" t="s">
        <v>409</v>
      </c>
      <c r="P258" s="338" t="s">
        <v>487</v>
      </c>
    </row>
    <row r="259" spans="2:16" x14ac:dyDescent="0.25">
      <c r="B259" s="336" t="s">
        <v>416</v>
      </c>
      <c r="C259" s="337">
        <v>41555</v>
      </c>
      <c r="D259" s="338" t="s">
        <v>8211</v>
      </c>
      <c r="E259" s="338" t="s">
        <v>8210</v>
      </c>
      <c r="F259" s="338" t="s">
        <v>8209</v>
      </c>
      <c r="G259" s="338" t="s">
        <v>413</v>
      </c>
      <c r="H259" s="338" t="s">
        <v>425</v>
      </c>
      <c r="I259" s="338" t="s">
        <v>411</v>
      </c>
      <c r="J259" s="339"/>
      <c r="K259" s="339"/>
      <c r="L259" s="339"/>
      <c r="M259" s="339"/>
      <c r="N259" s="338"/>
      <c r="O259" s="338" t="s">
        <v>443</v>
      </c>
      <c r="P259" s="338" t="s">
        <v>443</v>
      </c>
    </row>
    <row r="260" spans="2:16" x14ac:dyDescent="0.25">
      <c r="B260" s="336" t="s">
        <v>459</v>
      </c>
      <c r="C260" s="337">
        <v>41555</v>
      </c>
      <c r="D260" s="338" t="s">
        <v>7717</v>
      </c>
      <c r="E260" s="338" t="s">
        <v>8208</v>
      </c>
      <c r="F260" s="338"/>
      <c r="G260" s="338">
        <v>11.75</v>
      </c>
      <c r="H260" s="338" t="s">
        <v>425</v>
      </c>
      <c r="I260" s="338" t="s">
        <v>411</v>
      </c>
      <c r="J260" s="339"/>
      <c r="K260" s="339"/>
      <c r="L260" s="339" t="s">
        <v>409</v>
      </c>
      <c r="M260" s="339" t="s">
        <v>409</v>
      </c>
      <c r="N260" s="338" t="s">
        <v>417</v>
      </c>
      <c r="O260" s="338" t="s">
        <v>409</v>
      </c>
      <c r="P260" s="338"/>
    </row>
    <row r="261" spans="2:16" x14ac:dyDescent="0.25">
      <c r="B261" s="336" t="s">
        <v>416</v>
      </c>
      <c r="C261" s="337">
        <v>41554</v>
      </c>
      <c r="D261" s="338" t="s">
        <v>8207</v>
      </c>
      <c r="E261" s="338" t="s">
        <v>8206</v>
      </c>
      <c r="F261" s="338" t="s">
        <v>2764</v>
      </c>
      <c r="G261" s="338">
        <v>195</v>
      </c>
      <c r="H261" s="338" t="s">
        <v>425</v>
      </c>
      <c r="I261" s="338" t="s">
        <v>411</v>
      </c>
      <c r="J261" s="339"/>
      <c r="K261" s="339"/>
      <c r="L261" s="339">
        <v>2.5831599999999999</v>
      </c>
      <c r="M261" s="339">
        <v>418.44600000000003</v>
      </c>
      <c r="N261" s="338"/>
      <c r="O261" s="338" t="s">
        <v>417</v>
      </c>
      <c r="P261" s="338" t="s">
        <v>410</v>
      </c>
    </row>
    <row r="262" spans="2:16" x14ac:dyDescent="0.25">
      <c r="B262" s="336" t="s">
        <v>416</v>
      </c>
      <c r="C262" s="337">
        <v>41551</v>
      </c>
      <c r="D262" s="338" t="s">
        <v>8205</v>
      </c>
      <c r="E262" s="338" t="s">
        <v>8204</v>
      </c>
      <c r="F262" s="338"/>
      <c r="G262" s="338" t="s">
        <v>413</v>
      </c>
      <c r="H262" s="338" t="s">
        <v>412</v>
      </c>
      <c r="I262" s="338" t="s">
        <v>411</v>
      </c>
      <c r="J262" s="339"/>
      <c r="K262" s="339"/>
      <c r="L262" s="339" t="s">
        <v>409</v>
      </c>
      <c r="M262" s="339" t="s">
        <v>409</v>
      </c>
      <c r="N262" s="338" t="s">
        <v>417</v>
      </c>
      <c r="O262" s="338" t="s">
        <v>409</v>
      </c>
      <c r="P262" s="338" t="s">
        <v>487</v>
      </c>
    </row>
    <row r="263" spans="2:16" x14ac:dyDescent="0.25">
      <c r="B263" s="336" t="s">
        <v>416</v>
      </c>
      <c r="C263" s="337">
        <v>41551</v>
      </c>
      <c r="D263" s="338" t="s">
        <v>8203</v>
      </c>
      <c r="E263" s="338" t="s">
        <v>7994</v>
      </c>
      <c r="F263" s="338" t="s">
        <v>8202</v>
      </c>
      <c r="G263" s="338" t="s">
        <v>413</v>
      </c>
      <c r="H263" s="338" t="s">
        <v>425</v>
      </c>
      <c r="I263" s="338" t="s">
        <v>411</v>
      </c>
      <c r="J263" s="339"/>
      <c r="K263" s="339"/>
      <c r="L263" s="339"/>
      <c r="M263" s="339"/>
      <c r="N263" s="338"/>
      <c r="O263" s="338" t="s">
        <v>605</v>
      </c>
      <c r="P263" s="338" t="s">
        <v>417</v>
      </c>
    </row>
    <row r="264" spans="2:16" x14ac:dyDescent="0.25">
      <c r="B264" s="336" t="s">
        <v>1441</v>
      </c>
      <c r="C264" s="337">
        <v>41551</v>
      </c>
      <c r="D264" s="338" t="s">
        <v>8201</v>
      </c>
      <c r="E264" s="338" t="s">
        <v>2688</v>
      </c>
      <c r="F264" s="338"/>
      <c r="G264" s="338" t="s">
        <v>413</v>
      </c>
      <c r="H264" s="338" t="s">
        <v>412</v>
      </c>
      <c r="I264" s="338" t="s">
        <v>1243</v>
      </c>
      <c r="J264" s="339">
        <v>0.74299899999999997</v>
      </c>
      <c r="K264" s="339">
        <v>10.431900000000001</v>
      </c>
      <c r="L264" s="339" t="s">
        <v>409</v>
      </c>
      <c r="M264" s="339" t="s">
        <v>409</v>
      </c>
      <c r="N264" s="338" t="s">
        <v>417</v>
      </c>
      <c r="O264" s="338" t="s">
        <v>409</v>
      </c>
      <c r="P264" s="338" t="s">
        <v>417</v>
      </c>
    </row>
    <row r="265" spans="2:16" x14ac:dyDescent="0.25">
      <c r="B265" s="336" t="s">
        <v>416</v>
      </c>
      <c r="C265" s="337">
        <v>41550</v>
      </c>
      <c r="D265" s="338" t="s">
        <v>8200</v>
      </c>
      <c r="E265" s="338" t="s">
        <v>4750</v>
      </c>
      <c r="F265" s="338"/>
      <c r="G265" s="338" t="s">
        <v>413</v>
      </c>
      <c r="H265" s="338" t="s">
        <v>425</v>
      </c>
      <c r="I265" s="338" t="s">
        <v>411</v>
      </c>
      <c r="J265" s="339"/>
      <c r="K265" s="339"/>
      <c r="L265" s="339" t="s">
        <v>409</v>
      </c>
      <c r="M265" s="339" t="s">
        <v>409</v>
      </c>
      <c r="N265" s="338"/>
      <c r="O265" s="338" t="s">
        <v>409</v>
      </c>
      <c r="P265" s="338" t="s">
        <v>410</v>
      </c>
    </row>
    <row r="266" spans="2:16" x14ac:dyDescent="0.25">
      <c r="B266" s="336" t="s">
        <v>416</v>
      </c>
      <c r="C266" s="337">
        <v>41550</v>
      </c>
      <c r="D266" s="338" t="s">
        <v>5772</v>
      </c>
      <c r="E266" s="338" t="s">
        <v>4992</v>
      </c>
      <c r="F266" s="338" t="s">
        <v>804</v>
      </c>
      <c r="G266" s="338">
        <v>400</v>
      </c>
      <c r="H266" s="338" t="s">
        <v>425</v>
      </c>
      <c r="I266" s="338" t="s">
        <v>411</v>
      </c>
      <c r="J266" s="339"/>
      <c r="K266" s="339"/>
      <c r="L266" s="339"/>
      <c r="M266" s="339"/>
      <c r="N266" s="338" t="s">
        <v>417</v>
      </c>
      <c r="O266" s="338" t="s">
        <v>443</v>
      </c>
      <c r="P266" s="338" t="s">
        <v>408</v>
      </c>
    </row>
    <row r="267" spans="2:16" x14ac:dyDescent="0.25">
      <c r="B267" s="336" t="s">
        <v>459</v>
      </c>
      <c r="C267" s="337">
        <v>41550</v>
      </c>
      <c r="D267" s="338" t="s">
        <v>8199</v>
      </c>
      <c r="E267" s="338" t="s">
        <v>804</v>
      </c>
      <c r="F267" s="338"/>
      <c r="G267" s="338" t="s">
        <v>413</v>
      </c>
      <c r="H267" s="338" t="s">
        <v>425</v>
      </c>
      <c r="I267" s="338" t="s">
        <v>411</v>
      </c>
      <c r="J267" s="339"/>
      <c r="K267" s="339"/>
      <c r="L267" s="339" t="s">
        <v>409</v>
      </c>
      <c r="M267" s="339" t="s">
        <v>409</v>
      </c>
      <c r="N267" s="338" t="s">
        <v>410</v>
      </c>
      <c r="O267" s="338" t="s">
        <v>409</v>
      </c>
      <c r="P267" s="338" t="s">
        <v>443</v>
      </c>
    </row>
    <row r="268" spans="2:16" x14ac:dyDescent="0.25">
      <c r="B268" s="336" t="s">
        <v>416</v>
      </c>
      <c r="C268" s="337">
        <v>41549</v>
      </c>
      <c r="D268" s="338" t="s">
        <v>8198</v>
      </c>
      <c r="E268" s="338" t="s">
        <v>3004</v>
      </c>
      <c r="F268" s="338"/>
      <c r="G268" s="338" t="s">
        <v>413</v>
      </c>
      <c r="H268" s="338" t="s">
        <v>412</v>
      </c>
      <c r="I268" s="338" t="s">
        <v>411</v>
      </c>
      <c r="J268" s="339"/>
      <c r="K268" s="339"/>
      <c r="L268" s="339" t="s">
        <v>409</v>
      </c>
      <c r="M268" s="339" t="s">
        <v>409</v>
      </c>
      <c r="N268" s="338" t="s">
        <v>605</v>
      </c>
      <c r="O268" s="338" t="s">
        <v>409</v>
      </c>
      <c r="P268" s="338" t="s">
        <v>417</v>
      </c>
    </row>
    <row r="269" spans="2:16" x14ac:dyDescent="0.25">
      <c r="B269" s="336" t="s">
        <v>416</v>
      </c>
      <c r="C269" s="337">
        <v>41549</v>
      </c>
      <c r="D269" s="338" t="s">
        <v>8197</v>
      </c>
      <c r="E269" s="338" t="s">
        <v>8196</v>
      </c>
      <c r="F269" s="338" t="s">
        <v>8195</v>
      </c>
      <c r="G269" s="338" t="s">
        <v>413</v>
      </c>
      <c r="H269" s="338" t="s">
        <v>425</v>
      </c>
      <c r="I269" s="338" t="s">
        <v>1243</v>
      </c>
      <c r="J269" s="339"/>
      <c r="K269" s="339"/>
      <c r="L269" s="339"/>
      <c r="M269" s="339"/>
      <c r="N269" s="338"/>
      <c r="O269" s="338" t="s">
        <v>417</v>
      </c>
      <c r="P269" s="338"/>
    </row>
    <row r="270" spans="2:16" x14ac:dyDescent="0.25">
      <c r="B270" s="336" t="s">
        <v>416</v>
      </c>
      <c r="C270" s="337">
        <v>41549</v>
      </c>
      <c r="D270" s="338" t="s">
        <v>8194</v>
      </c>
      <c r="E270" s="338" t="s">
        <v>4401</v>
      </c>
      <c r="F270" s="338" t="s">
        <v>2688</v>
      </c>
      <c r="G270" s="338">
        <v>50</v>
      </c>
      <c r="H270" s="338" t="s">
        <v>425</v>
      </c>
      <c r="I270" s="338" t="s">
        <v>411</v>
      </c>
      <c r="J270" s="339"/>
      <c r="K270" s="339"/>
      <c r="L270" s="339">
        <v>1.61832</v>
      </c>
      <c r="M270" s="339">
        <v>15.4156</v>
      </c>
      <c r="N270" s="338" t="s">
        <v>417</v>
      </c>
      <c r="O270" s="338" t="s">
        <v>417</v>
      </c>
      <c r="P270" s="338" t="s">
        <v>417</v>
      </c>
    </row>
    <row r="271" spans="2:16" x14ac:dyDescent="0.25">
      <c r="B271" s="336" t="s">
        <v>416</v>
      </c>
      <c r="C271" s="337">
        <v>41549</v>
      </c>
      <c r="D271" s="338" t="s">
        <v>8193</v>
      </c>
      <c r="E271" s="338" t="s">
        <v>4600</v>
      </c>
      <c r="F271" s="338"/>
      <c r="G271" s="338" t="s">
        <v>413</v>
      </c>
      <c r="H271" s="338" t="s">
        <v>412</v>
      </c>
      <c r="I271" s="338" t="s">
        <v>411</v>
      </c>
      <c r="J271" s="339"/>
      <c r="K271" s="339"/>
      <c r="L271" s="339" t="s">
        <v>409</v>
      </c>
      <c r="M271" s="339" t="s">
        <v>409</v>
      </c>
      <c r="N271" s="338" t="s">
        <v>410</v>
      </c>
      <c r="O271" s="338" t="s">
        <v>409</v>
      </c>
      <c r="P271" s="338" t="s">
        <v>417</v>
      </c>
    </row>
    <row r="272" spans="2:16" x14ac:dyDescent="0.25">
      <c r="B272" s="336" t="s">
        <v>416</v>
      </c>
      <c r="C272" s="337">
        <v>41548</v>
      </c>
      <c r="D272" s="338" t="s">
        <v>5399</v>
      </c>
      <c r="E272" s="338" t="s">
        <v>8192</v>
      </c>
      <c r="F272" s="338" t="s">
        <v>3375</v>
      </c>
      <c r="G272" s="338" t="s">
        <v>413</v>
      </c>
      <c r="H272" s="338" t="s">
        <v>412</v>
      </c>
      <c r="I272" s="338" t="s">
        <v>411</v>
      </c>
      <c r="J272" s="339"/>
      <c r="K272" s="339"/>
      <c r="L272" s="339">
        <v>0.26823999999999998</v>
      </c>
      <c r="M272" s="339">
        <v>3.3172999999999999</v>
      </c>
      <c r="N272" s="338" t="s">
        <v>417</v>
      </c>
      <c r="O272" s="338" t="s">
        <v>417</v>
      </c>
      <c r="P272" s="338" t="s">
        <v>487</v>
      </c>
    </row>
    <row r="273" spans="2:16" x14ac:dyDescent="0.25">
      <c r="B273" s="336" t="s">
        <v>416</v>
      </c>
      <c r="C273" s="337">
        <v>41548</v>
      </c>
      <c r="D273" s="338" t="s">
        <v>8191</v>
      </c>
      <c r="E273" s="338" t="s">
        <v>8190</v>
      </c>
      <c r="F273" s="338" t="s">
        <v>1112</v>
      </c>
      <c r="G273" s="338" t="s">
        <v>413</v>
      </c>
      <c r="H273" s="338" t="s">
        <v>412</v>
      </c>
      <c r="I273" s="338" t="s">
        <v>411</v>
      </c>
      <c r="J273" s="339"/>
      <c r="K273" s="339"/>
      <c r="L273" s="339">
        <v>1.72587</v>
      </c>
      <c r="M273" s="339">
        <v>8.4922599999999999</v>
      </c>
      <c r="N273" s="338" t="s">
        <v>605</v>
      </c>
      <c r="O273" s="338" t="s">
        <v>605</v>
      </c>
      <c r="P273" s="338" t="s">
        <v>417</v>
      </c>
    </row>
    <row r="274" spans="2:16" x14ac:dyDescent="0.25">
      <c r="B274" s="336" t="s">
        <v>416</v>
      </c>
      <c r="C274" s="337">
        <v>41548</v>
      </c>
      <c r="D274" s="338" t="s">
        <v>1579</v>
      </c>
      <c r="E274" s="338" t="s">
        <v>8189</v>
      </c>
      <c r="F274" s="338" t="s">
        <v>6462</v>
      </c>
      <c r="G274" s="338" t="s">
        <v>413</v>
      </c>
      <c r="H274" s="338" t="s">
        <v>425</v>
      </c>
      <c r="I274" s="338" t="s">
        <v>411</v>
      </c>
      <c r="J274" s="339"/>
      <c r="K274" s="339"/>
      <c r="L274" s="339"/>
      <c r="M274" s="339"/>
      <c r="N274" s="338" t="s">
        <v>417</v>
      </c>
      <c r="O274" s="338" t="s">
        <v>443</v>
      </c>
      <c r="P274" s="338" t="s">
        <v>417</v>
      </c>
    </row>
    <row r="275" spans="2:16" x14ac:dyDescent="0.25">
      <c r="B275" s="336" t="s">
        <v>416</v>
      </c>
      <c r="C275" s="337">
        <v>41548</v>
      </c>
      <c r="D275" s="338" t="s">
        <v>8188</v>
      </c>
      <c r="E275" s="338" t="s">
        <v>4114</v>
      </c>
      <c r="F275" s="338"/>
      <c r="G275" s="338" t="s">
        <v>413</v>
      </c>
      <c r="H275" s="338" t="s">
        <v>412</v>
      </c>
      <c r="I275" s="338" t="s">
        <v>411</v>
      </c>
      <c r="J275" s="339"/>
      <c r="K275" s="339"/>
      <c r="L275" s="339" t="s">
        <v>409</v>
      </c>
      <c r="M275" s="339" t="s">
        <v>409</v>
      </c>
      <c r="N275" s="338" t="s">
        <v>410</v>
      </c>
      <c r="O275" s="338" t="s">
        <v>409</v>
      </c>
      <c r="P275" s="338" t="s">
        <v>417</v>
      </c>
    </row>
    <row r="276" spans="2:16" x14ac:dyDescent="0.25">
      <c r="B276" s="336" t="s">
        <v>416</v>
      </c>
      <c r="C276" s="337">
        <v>41547</v>
      </c>
      <c r="D276" s="338" t="s">
        <v>8187</v>
      </c>
      <c r="E276" s="338" t="s">
        <v>7868</v>
      </c>
      <c r="F276" s="338" t="s">
        <v>8186</v>
      </c>
      <c r="G276" s="338" t="s">
        <v>413</v>
      </c>
      <c r="H276" s="338" t="s">
        <v>412</v>
      </c>
      <c r="I276" s="338" t="s">
        <v>411</v>
      </c>
      <c r="J276" s="339"/>
      <c r="K276" s="339"/>
      <c r="L276" s="339"/>
      <c r="M276" s="339"/>
      <c r="N276" s="338" t="s">
        <v>432</v>
      </c>
      <c r="O276" s="338" t="s">
        <v>417</v>
      </c>
      <c r="P276" s="338" t="s">
        <v>432</v>
      </c>
    </row>
    <row r="277" spans="2:16" x14ac:dyDescent="0.25">
      <c r="B277" s="336" t="s">
        <v>416</v>
      </c>
      <c r="C277" s="337">
        <v>41547</v>
      </c>
      <c r="D277" s="338" t="s">
        <v>8185</v>
      </c>
      <c r="E277" s="338" t="s">
        <v>2987</v>
      </c>
      <c r="F277" s="338"/>
      <c r="G277" s="338" t="s">
        <v>413</v>
      </c>
      <c r="H277" s="338" t="s">
        <v>336</v>
      </c>
      <c r="I277" s="338" t="s">
        <v>411</v>
      </c>
      <c r="J277" s="339"/>
      <c r="K277" s="339"/>
      <c r="L277" s="339" t="s">
        <v>409</v>
      </c>
      <c r="M277" s="339" t="s">
        <v>409</v>
      </c>
      <c r="N277" s="338" t="s">
        <v>443</v>
      </c>
      <c r="O277" s="338" t="s">
        <v>409</v>
      </c>
      <c r="P277" s="338" t="s">
        <v>417</v>
      </c>
    </row>
    <row r="278" spans="2:16" x14ac:dyDescent="0.25">
      <c r="B278" s="336" t="s">
        <v>416</v>
      </c>
      <c r="C278" s="337">
        <v>41547</v>
      </c>
      <c r="D278" s="338" t="s">
        <v>8184</v>
      </c>
      <c r="E278" s="338" t="s">
        <v>514</v>
      </c>
      <c r="F278" s="338" t="s">
        <v>5226</v>
      </c>
      <c r="G278" s="338" t="s">
        <v>413</v>
      </c>
      <c r="H278" s="338" t="s">
        <v>412</v>
      </c>
      <c r="I278" s="338" t="s">
        <v>411</v>
      </c>
      <c r="J278" s="339"/>
      <c r="K278" s="339"/>
      <c r="L278" s="339"/>
      <c r="M278" s="339"/>
      <c r="N278" s="338" t="s">
        <v>417</v>
      </c>
      <c r="O278" s="338" t="s">
        <v>417</v>
      </c>
      <c r="P278" s="338"/>
    </row>
    <row r="279" spans="2:16" x14ac:dyDescent="0.25">
      <c r="B279" s="336" t="s">
        <v>459</v>
      </c>
      <c r="C279" s="337">
        <v>41547</v>
      </c>
      <c r="D279" s="338" t="s">
        <v>5519</v>
      </c>
      <c r="E279" s="338" t="s">
        <v>8183</v>
      </c>
      <c r="F279" s="338" t="s">
        <v>5518</v>
      </c>
      <c r="G279" s="338" t="s">
        <v>413</v>
      </c>
      <c r="H279" s="338" t="s">
        <v>425</v>
      </c>
      <c r="I279" s="338" t="s">
        <v>411</v>
      </c>
      <c r="J279" s="339"/>
      <c r="K279" s="339"/>
      <c r="L279" s="339"/>
      <c r="M279" s="339"/>
      <c r="N279" s="338" t="s">
        <v>417</v>
      </c>
      <c r="O279" s="338" t="s">
        <v>443</v>
      </c>
      <c r="P279" s="338" t="s">
        <v>885</v>
      </c>
    </row>
    <row r="280" spans="2:16" x14ac:dyDescent="0.25">
      <c r="B280" s="336" t="s">
        <v>416</v>
      </c>
      <c r="C280" s="337">
        <v>41547</v>
      </c>
      <c r="D280" s="338" t="s">
        <v>8182</v>
      </c>
      <c r="E280" s="338" t="s">
        <v>463</v>
      </c>
      <c r="F280" s="338"/>
      <c r="G280" s="338" t="s">
        <v>413</v>
      </c>
      <c r="H280" s="338" t="s">
        <v>425</v>
      </c>
      <c r="I280" s="338" t="s">
        <v>411</v>
      </c>
      <c r="J280" s="339"/>
      <c r="K280" s="339"/>
      <c r="L280" s="339" t="s">
        <v>409</v>
      </c>
      <c r="M280" s="339" t="s">
        <v>409</v>
      </c>
      <c r="N280" s="338"/>
      <c r="O280" s="338" t="s">
        <v>409</v>
      </c>
      <c r="P280" s="338" t="s">
        <v>417</v>
      </c>
    </row>
    <row r="281" spans="2:16" x14ac:dyDescent="0.25">
      <c r="B281" s="336" t="s">
        <v>416</v>
      </c>
      <c r="C281" s="337">
        <v>41547</v>
      </c>
      <c r="D281" s="338" t="s">
        <v>8181</v>
      </c>
      <c r="E281" s="338" t="s">
        <v>8180</v>
      </c>
      <c r="F281" s="338"/>
      <c r="G281" s="338" t="s">
        <v>413</v>
      </c>
      <c r="H281" s="338" t="s">
        <v>412</v>
      </c>
      <c r="I281" s="338" t="s">
        <v>411</v>
      </c>
      <c r="J281" s="339"/>
      <c r="K281" s="339"/>
      <c r="L281" s="339" t="s">
        <v>409</v>
      </c>
      <c r="M281" s="339" t="s">
        <v>409</v>
      </c>
      <c r="N281" s="338" t="s">
        <v>417</v>
      </c>
      <c r="O281" s="338" t="s">
        <v>409</v>
      </c>
      <c r="P281" s="338" t="s">
        <v>410</v>
      </c>
    </row>
    <row r="282" spans="2:16" x14ac:dyDescent="0.25">
      <c r="B282" s="336" t="s">
        <v>1441</v>
      </c>
      <c r="C282" s="337">
        <v>41547</v>
      </c>
      <c r="D282" s="338" t="s">
        <v>8179</v>
      </c>
      <c r="E282" s="338" t="s">
        <v>7564</v>
      </c>
      <c r="F282" s="338"/>
      <c r="G282" s="338" t="s">
        <v>413</v>
      </c>
      <c r="H282" s="338" t="s">
        <v>412</v>
      </c>
      <c r="I282" s="338" t="s">
        <v>1243</v>
      </c>
      <c r="J282" s="339"/>
      <c r="K282" s="339"/>
      <c r="L282" s="339" t="s">
        <v>409</v>
      </c>
      <c r="M282" s="339" t="s">
        <v>409</v>
      </c>
      <c r="N282" s="338" t="s">
        <v>417</v>
      </c>
      <c r="O282" s="338" t="s">
        <v>409</v>
      </c>
      <c r="P282" s="338" t="s">
        <v>417</v>
      </c>
    </row>
    <row r="283" spans="2:16" x14ac:dyDescent="0.25">
      <c r="B283" s="336" t="s">
        <v>416</v>
      </c>
      <c r="C283" s="337">
        <v>41543</v>
      </c>
      <c r="D283" s="338" t="s">
        <v>8178</v>
      </c>
      <c r="E283" s="338" t="s">
        <v>477</v>
      </c>
      <c r="F283" s="338" t="s">
        <v>8177</v>
      </c>
      <c r="G283" s="338" t="s">
        <v>413</v>
      </c>
      <c r="H283" s="338" t="s">
        <v>412</v>
      </c>
      <c r="I283" s="338" t="s">
        <v>411</v>
      </c>
      <c r="J283" s="339"/>
      <c r="K283" s="339"/>
      <c r="L283" s="339"/>
      <c r="M283" s="339"/>
      <c r="N283" s="338"/>
      <c r="O283" s="338" t="s">
        <v>417</v>
      </c>
      <c r="P283" s="338" t="s">
        <v>417</v>
      </c>
    </row>
    <row r="284" spans="2:16" x14ac:dyDescent="0.25">
      <c r="B284" s="336" t="s">
        <v>416</v>
      </c>
      <c r="C284" s="337">
        <v>41542</v>
      </c>
      <c r="D284" s="338" t="s">
        <v>8176</v>
      </c>
      <c r="E284" s="338" t="s">
        <v>8175</v>
      </c>
      <c r="F284" s="338"/>
      <c r="G284" s="338" t="s">
        <v>413</v>
      </c>
      <c r="H284" s="338" t="s">
        <v>412</v>
      </c>
      <c r="I284" s="338" t="s">
        <v>411</v>
      </c>
      <c r="J284" s="339"/>
      <c r="K284" s="339"/>
      <c r="L284" s="339" t="s">
        <v>409</v>
      </c>
      <c r="M284" s="339" t="s">
        <v>409</v>
      </c>
      <c r="N284" s="338" t="s">
        <v>417</v>
      </c>
      <c r="O284" s="338" t="s">
        <v>409</v>
      </c>
      <c r="P284" s="338" t="s">
        <v>410</v>
      </c>
    </row>
    <row r="285" spans="2:16" x14ac:dyDescent="0.25">
      <c r="B285" s="336" t="s">
        <v>416</v>
      </c>
      <c r="C285" s="337">
        <v>41541</v>
      </c>
      <c r="D285" s="338" t="s">
        <v>8174</v>
      </c>
      <c r="E285" s="338" t="s">
        <v>8173</v>
      </c>
      <c r="F285" s="338"/>
      <c r="G285" s="338" t="s">
        <v>413</v>
      </c>
      <c r="H285" s="338" t="s">
        <v>412</v>
      </c>
      <c r="I285" s="338" t="s">
        <v>411</v>
      </c>
      <c r="J285" s="339"/>
      <c r="K285" s="339"/>
      <c r="L285" s="339" t="s">
        <v>409</v>
      </c>
      <c r="M285" s="339" t="s">
        <v>409</v>
      </c>
      <c r="N285" s="338" t="s">
        <v>605</v>
      </c>
      <c r="O285" s="338" t="s">
        <v>409</v>
      </c>
      <c r="P285" s="338" t="s">
        <v>417</v>
      </c>
    </row>
    <row r="286" spans="2:16" x14ac:dyDescent="0.25">
      <c r="B286" s="336" t="s">
        <v>416</v>
      </c>
      <c r="C286" s="337">
        <v>41541</v>
      </c>
      <c r="D286" s="338" t="s">
        <v>8172</v>
      </c>
      <c r="E286" s="338" t="s">
        <v>8171</v>
      </c>
      <c r="F286" s="338" t="s">
        <v>8170</v>
      </c>
      <c r="G286" s="338" t="s">
        <v>413</v>
      </c>
      <c r="H286" s="338" t="s">
        <v>412</v>
      </c>
      <c r="I286" s="338" t="s">
        <v>1243</v>
      </c>
      <c r="J286" s="339"/>
      <c r="K286" s="339"/>
      <c r="L286" s="339"/>
      <c r="M286" s="339"/>
      <c r="N286" s="338"/>
      <c r="O286" s="338" t="s">
        <v>410</v>
      </c>
      <c r="P286" s="338" t="s">
        <v>417</v>
      </c>
    </row>
    <row r="287" spans="2:16" x14ac:dyDescent="0.25">
      <c r="B287" s="336" t="s">
        <v>416</v>
      </c>
      <c r="C287" s="337">
        <v>41537</v>
      </c>
      <c r="D287" s="338" t="s">
        <v>8169</v>
      </c>
      <c r="E287" s="338" t="s">
        <v>8168</v>
      </c>
      <c r="F287" s="338"/>
      <c r="G287" s="338" t="s">
        <v>413</v>
      </c>
      <c r="H287" s="338" t="s">
        <v>336</v>
      </c>
      <c r="I287" s="338" t="s">
        <v>411</v>
      </c>
      <c r="J287" s="339"/>
      <c r="K287" s="339"/>
      <c r="L287" s="339" t="s">
        <v>409</v>
      </c>
      <c r="M287" s="339" t="s">
        <v>409</v>
      </c>
      <c r="N287" s="338" t="s">
        <v>417</v>
      </c>
      <c r="O287" s="338" t="s">
        <v>409</v>
      </c>
      <c r="P287" s="338" t="s">
        <v>417</v>
      </c>
    </row>
    <row r="288" spans="2:16" x14ac:dyDescent="0.25">
      <c r="B288" s="336" t="s">
        <v>459</v>
      </c>
      <c r="C288" s="337">
        <v>41536</v>
      </c>
      <c r="D288" s="338" t="s">
        <v>8167</v>
      </c>
      <c r="E288" s="338" t="s">
        <v>514</v>
      </c>
      <c r="F288" s="338"/>
      <c r="G288" s="338">
        <v>2</v>
      </c>
      <c r="H288" s="338" t="s">
        <v>425</v>
      </c>
      <c r="I288" s="338" t="s">
        <v>411</v>
      </c>
      <c r="J288" s="339"/>
      <c r="K288" s="339"/>
      <c r="L288" s="339" t="s">
        <v>409</v>
      </c>
      <c r="M288" s="339" t="s">
        <v>409</v>
      </c>
      <c r="N288" s="338" t="s">
        <v>487</v>
      </c>
      <c r="O288" s="338" t="s">
        <v>409</v>
      </c>
      <c r="P288" s="338"/>
    </row>
    <row r="289" spans="2:16" x14ac:dyDescent="0.25">
      <c r="B289" s="336" t="s">
        <v>459</v>
      </c>
      <c r="C289" s="337">
        <v>41535</v>
      </c>
      <c r="D289" s="338" t="s">
        <v>8166</v>
      </c>
      <c r="E289" s="338" t="s">
        <v>8165</v>
      </c>
      <c r="F289" s="338"/>
      <c r="G289" s="338">
        <v>2.6</v>
      </c>
      <c r="H289" s="338" t="s">
        <v>425</v>
      </c>
      <c r="I289" s="338" t="s">
        <v>411</v>
      </c>
      <c r="J289" s="339"/>
      <c r="K289" s="339"/>
      <c r="L289" s="339" t="s">
        <v>409</v>
      </c>
      <c r="M289" s="339" t="s">
        <v>409</v>
      </c>
      <c r="N289" s="338" t="s">
        <v>417</v>
      </c>
      <c r="O289" s="338" t="s">
        <v>409</v>
      </c>
      <c r="P289" s="338"/>
    </row>
    <row r="290" spans="2:16" x14ac:dyDescent="0.25">
      <c r="B290" s="336" t="s">
        <v>459</v>
      </c>
      <c r="C290" s="337">
        <v>41535</v>
      </c>
      <c r="D290" s="338" t="s">
        <v>3550</v>
      </c>
      <c r="E290" s="338" t="s">
        <v>8164</v>
      </c>
      <c r="F290" s="338"/>
      <c r="G290" s="338">
        <v>20</v>
      </c>
      <c r="H290" s="338" t="s">
        <v>425</v>
      </c>
      <c r="I290" s="338" t="s">
        <v>411</v>
      </c>
      <c r="J290" s="339"/>
      <c r="K290" s="339"/>
      <c r="L290" s="339" t="s">
        <v>409</v>
      </c>
      <c r="M290" s="339" t="s">
        <v>409</v>
      </c>
      <c r="N290" s="338" t="s">
        <v>417</v>
      </c>
      <c r="O290" s="338" t="s">
        <v>409</v>
      </c>
      <c r="P290" s="338"/>
    </row>
    <row r="291" spans="2:16" x14ac:dyDescent="0.25">
      <c r="B291" s="336" t="s">
        <v>416</v>
      </c>
      <c r="C291" s="337">
        <v>41534</v>
      </c>
      <c r="D291" s="338" t="s">
        <v>8163</v>
      </c>
      <c r="E291" s="338" t="s">
        <v>4105</v>
      </c>
      <c r="F291" s="338"/>
      <c r="G291" s="338">
        <v>24.6</v>
      </c>
      <c r="H291" s="338" t="s">
        <v>425</v>
      </c>
      <c r="I291" s="338" t="s">
        <v>1243</v>
      </c>
      <c r="J291" s="339"/>
      <c r="K291" s="339"/>
      <c r="L291" s="339" t="s">
        <v>409</v>
      </c>
      <c r="M291" s="339" t="s">
        <v>409</v>
      </c>
      <c r="N291" s="338"/>
      <c r="O291" s="338" t="s">
        <v>409</v>
      </c>
      <c r="P291" s="338" t="s">
        <v>443</v>
      </c>
    </row>
    <row r="292" spans="2:16" x14ac:dyDescent="0.25">
      <c r="B292" s="336" t="s">
        <v>416</v>
      </c>
      <c r="C292" s="337">
        <v>41534</v>
      </c>
      <c r="D292" s="338" t="s">
        <v>8162</v>
      </c>
      <c r="E292" s="338" t="s">
        <v>8161</v>
      </c>
      <c r="F292" s="338"/>
      <c r="G292" s="338" t="s">
        <v>413</v>
      </c>
      <c r="H292" s="338" t="s">
        <v>425</v>
      </c>
      <c r="I292" s="338" t="s">
        <v>411</v>
      </c>
      <c r="J292" s="339"/>
      <c r="K292" s="339"/>
      <c r="L292" s="339" t="s">
        <v>409</v>
      </c>
      <c r="M292" s="339" t="s">
        <v>409</v>
      </c>
      <c r="N292" s="338" t="s">
        <v>417</v>
      </c>
      <c r="O292" s="338" t="s">
        <v>409</v>
      </c>
      <c r="P292" s="338" t="s">
        <v>443</v>
      </c>
    </row>
    <row r="293" spans="2:16" x14ac:dyDescent="0.25">
      <c r="B293" s="336" t="s">
        <v>416</v>
      </c>
      <c r="C293" s="337">
        <v>41534</v>
      </c>
      <c r="D293" s="338" t="s">
        <v>8160</v>
      </c>
      <c r="E293" s="338" t="s">
        <v>8159</v>
      </c>
      <c r="F293" s="338"/>
      <c r="G293" s="338" t="s">
        <v>413</v>
      </c>
      <c r="H293" s="338" t="s">
        <v>412</v>
      </c>
      <c r="I293" s="338" t="s">
        <v>411</v>
      </c>
      <c r="J293" s="339"/>
      <c r="K293" s="339"/>
      <c r="L293" s="339" t="s">
        <v>409</v>
      </c>
      <c r="M293" s="339" t="s">
        <v>409</v>
      </c>
      <c r="N293" s="338" t="s">
        <v>417</v>
      </c>
      <c r="O293" s="338" t="s">
        <v>409</v>
      </c>
      <c r="P293" s="338" t="s">
        <v>410</v>
      </c>
    </row>
    <row r="294" spans="2:16" x14ac:dyDescent="0.25">
      <c r="B294" s="336" t="s">
        <v>416</v>
      </c>
      <c r="C294" s="337">
        <v>41533</v>
      </c>
      <c r="D294" s="338" t="s">
        <v>8158</v>
      </c>
      <c r="E294" s="338" t="s">
        <v>1612</v>
      </c>
      <c r="F294" s="338" t="s">
        <v>2001</v>
      </c>
      <c r="G294" s="338">
        <v>1640</v>
      </c>
      <c r="H294" s="338" t="s">
        <v>425</v>
      </c>
      <c r="I294" s="338" t="s">
        <v>411</v>
      </c>
      <c r="J294" s="339"/>
      <c r="K294" s="339"/>
      <c r="L294" s="339">
        <v>13.543900000000001</v>
      </c>
      <c r="M294" s="339">
        <v>28.085100000000001</v>
      </c>
      <c r="N294" s="338"/>
      <c r="O294" s="338" t="s">
        <v>443</v>
      </c>
      <c r="P294" s="338" t="s">
        <v>443</v>
      </c>
    </row>
    <row r="295" spans="2:16" x14ac:dyDescent="0.25">
      <c r="B295" s="336" t="s">
        <v>416</v>
      </c>
      <c r="C295" s="337">
        <v>41533</v>
      </c>
      <c r="D295" s="338" t="s">
        <v>8157</v>
      </c>
      <c r="E295" s="338" t="s">
        <v>468</v>
      </c>
      <c r="F295" s="338"/>
      <c r="G295" s="338" t="s">
        <v>413</v>
      </c>
      <c r="H295" s="338" t="s">
        <v>412</v>
      </c>
      <c r="I295" s="338" t="s">
        <v>411</v>
      </c>
      <c r="J295" s="339"/>
      <c r="K295" s="339"/>
      <c r="L295" s="339" t="s">
        <v>409</v>
      </c>
      <c r="M295" s="339" t="s">
        <v>409</v>
      </c>
      <c r="N295" s="338" t="s">
        <v>417</v>
      </c>
      <c r="O295" s="338" t="s">
        <v>409</v>
      </c>
      <c r="P295" s="338" t="s">
        <v>443</v>
      </c>
    </row>
    <row r="296" spans="2:16" x14ac:dyDescent="0.25">
      <c r="B296" s="336" t="s">
        <v>416</v>
      </c>
      <c r="C296" s="337">
        <v>41530</v>
      </c>
      <c r="D296" s="338" t="s">
        <v>8156</v>
      </c>
      <c r="E296" s="338" t="s">
        <v>4930</v>
      </c>
      <c r="F296" s="338"/>
      <c r="G296" s="338" t="s">
        <v>413</v>
      </c>
      <c r="H296" s="338" t="s">
        <v>425</v>
      </c>
      <c r="I296" s="338" t="s">
        <v>411</v>
      </c>
      <c r="J296" s="339"/>
      <c r="K296" s="339"/>
      <c r="L296" s="339" t="s">
        <v>409</v>
      </c>
      <c r="M296" s="339" t="s">
        <v>409</v>
      </c>
      <c r="N296" s="338"/>
      <c r="O296" s="338" t="s">
        <v>409</v>
      </c>
      <c r="P296" s="338" t="s">
        <v>417</v>
      </c>
    </row>
    <row r="297" spans="2:16" x14ac:dyDescent="0.25">
      <c r="B297" s="336" t="s">
        <v>416</v>
      </c>
      <c r="C297" s="337">
        <v>41530</v>
      </c>
      <c r="D297" s="338" t="s">
        <v>8155</v>
      </c>
      <c r="E297" s="338" t="s">
        <v>6010</v>
      </c>
      <c r="F297" s="338" t="s">
        <v>8154</v>
      </c>
      <c r="G297" s="338" t="s">
        <v>413</v>
      </c>
      <c r="H297" s="338" t="s">
        <v>425</v>
      </c>
      <c r="I297" s="338" t="s">
        <v>1243</v>
      </c>
      <c r="J297" s="339"/>
      <c r="K297" s="339"/>
      <c r="L297" s="339"/>
      <c r="M297" s="339"/>
      <c r="N297" s="338" t="s">
        <v>432</v>
      </c>
      <c r="O297" s="338" t="s">
        <v>443</v>
      </c>
      <c r="P297" s="338" t="s">
        <v>417</v>
      </c>
    </row>
    <row r="298" spans="2:16" x14ac:dyDescent="0.25">
      <c r="B298" s="336" t="s">
        <v>416</v>
      </c>
      <c r="C298" s="337">
        <v>41529</v>
      </c>
      <c r="D298" s="338" t="s">
        <v>8152</v>
      </c>
      <c r="E298" s="338" t="s">
        <v>8153</v>
      </c>
      <c r="F298" s="338" t="s">
        <v>7142</v>
      </c>
      <c r="G298" s="338">
        <v>200</v>
      </c>
      <c r="H298" s="338" t="s">
        <v>425</v>
      </c>
      <c r="I298" s="338" t="s">
        <v>8150</v>
      </c>
      <c r="J298" s="339"/>
      <c r="K298" s="339"/>
      <c r="L298" s="339">
        <v>2.9000499999999998</v>
      </c>
      <c r="M298" s="339">
        <v>11.833500000000001</v>
      </c>
      <c r="N298" s="338"/>
      <c r="O298" s="338" t="s">
        <v>417</v>
      </c>
      <c r="P298" s="338"/>
    </row>
    <row r="299" spans="2:16" x14ac:dyDescent="0.25">
      <c r="B299" s="336" t="s">
        <v>416</v>
      </c>
      <c r="C299" s="337">
        <v>41529</v>
      </c>
      <c r="D299" s="338" t="s">
        <v>8152</v>
      </c>
      <c r="E299" s="338" t="s">
        <v>8151</v>
      </c>
      <c r="F299" s="338" t="s">
        <v>7142</v>
      </c>
      <c r="G299" s="338">
        <v>350</v>
      </c>
      <c r="H299" s="338" t="s">
        <v>425</v>
      </c>
      <c r="I299" s="338" t="s">
        <v>8150</v>
      </c>
      <c r="J299" s="339"/>
      <c r="K299" s="339"/>
      <c r="L299" s="339">
        <v>2.9000499999999998</v>
      </c>
      <c r="M299" s="339">
        <v>11.833500000000001</v>
      </c>
      <c r="N299" s="338"/>
      <c r="O299" s="338" t="s">
        <v>417</v>
      </c>
      <c r="P299" s="338" t="s">
        <v>432</v>
      </c>
    </row>
    <row r="300" spans="2:16" x14ac:dyDescent="0.25">
      <c r="B300" s="336" t="s">
        <v>416</v>
      </c>
      <c r="C300" s="337">
        <v>41529</v>
      </c>
      <c r="D300" s="338" t="s">
        <v>8149</v>
      </c>
      <c r="E300" s="338" t="s">
        <v>8148</v>
      </c>
      <c r="F300" s="338" t="s">
        <v>680</v>
      </c>
      <c r="G300" s="338" t="s">
        <v>413</v>
      </c>
      <c r="H300" s="338" t="s">
        <v>412</v>
      </c>
      <c r="I300" s="338" t="s">
        <v>411</v>
      </c>
      <c r="J300" s="339"/>
      <c r="K300" s="339"/>
      <c r="L300" s="339">
        <v>0.70431999999999995</v>
      </c>
      <c r="M300" s="339">
        <v>7.0067300000000001</v>
      </c>
      <c r="N300" s="338" t="s">
        <v>417</v>
      </c>
      <c r="O300" s="338" t="s">
        <v>417</v>
      </c>
      <c r="P300" s="338" t="s">
        <v>417</v>
      </c>
    </row>
    <row r="301" spans="2:16" x14ac:dyDescent="0.25">
      <c r="B301" s="336" t="s">
        <v>416</v>
      </c>
      <c r="C301" s="337">
        <v>41529</v>
      </c>
      <c r="D301" s="338" t="s">
        <v>8147</v>
      </c>
      <c r="E301" s="338" t="s">
        <v>1169</v>
      </c>
      <c r="F301" s="338" t="s">
        <v>8146</v>
      </c>
      <c r="G301" s="338" t="s">
        <v>413</v>
      </c>
      <c r="H301" s="338" t="s">
        <v>412</v>
      </c>
      <c r="I301" s="338" t="s">
        <v>411</v>
      </c>
      <c r="J301" s="339"/>
      <c r="K301" s="339"/>
      <c r="L301" s="339"/>
      <c r="M301" s="339"/>
      <c r="N301" s="338" t="s">
        <v>410</v>
      </c>
      <c r="O301" s="338" t="s">
        <v>410</v>
      </c>
      <c r="P301" s="338" t="s">
        <v>417</v>
      </c>
    </row>
    <row r="302" spans="2:16" x14ac:dyDescent="0.25">
      <c r="B302" s="336" t="s">
        <v>459</v>
      </c>
      <c r="C302" s="337">
        <v>41529</v>
      </c>
      <c r="D302" s="338" t="s">
        <v>6010</v>
      </c>
      <c r="E302" s="338" t="s">
        <v>8145</v>
      </c>
      <c r="F302" s="338"/>
      <c r="G302" s="338">
        <v>26</v>
      </c>
      <c r="H302" s="338" t="s">
        <v>425</v>
      </c>
      <c r="I302" s="338" t="s">
        <v>411</v>
      </c>
      <c r="J302" s="339"/>
      <c r="K302" s="339"/>
      <c r="L302" s="339" t="s">
        <v>409</v>
      </c>
      <c r="M302" s="339" t="s">
        <v>409</v>
      </c>
      <c r="N302" s="338" t="s">
        <v>417</v>
      </c>
      <c r="O302" s="338" t="s">
        <v>409</v>
      </c>
      <c r="P302" s="338"/>
    </row>
    <row r="303" spans="2:16" x14ac:dyDescent="0.25">
      <c r="B303" s="336" t="s">
        <v>416</v>
      </c>
      <c r="C303" s="337">
        <v>41529</v>
      </c>
      <c r="D303" s="338" t="s">
        <v>8144</v>
      </c>
      <c r="E303" s="338" t="s">
        <v>2860</v>
      </c>
      <c r="F303" s="338"/>
      <c r="G303" s="338" t="s">
        <v>413</v>
      </c>
      <c r="H303" s="338" t="s">
        <v>412</v>
      </c>
      <c r="I303" s="338" t="s">
        <v>411</v>
      </c>
      <c r="J303" s="339"/>
      <c r="K303" s="339"/>
      <c r="L303" s="339" t="s">
        <v>409</v>
      </c>
      <c r="M303" s="339" t="s">
        <v>409</v>
      </c>
      <c r="N303" s="338" t="s">
        <v>432</v>
      </c>
      <c r="O303" s="338" t="s">
        <v>409</v>
      </c>
      <c r="P303" s="338" t="s">
        <v>417</v>
      </c>
    </row>
    <row r="304" spans="2:16" x14ac:dyDescent="0.25">
      <c r="B304" s="336" t="s">
        <v>416</v>
      </c>
      <c r="C304" s="337">
        <v>41528</v>
      </c>
      <c r="D304" s="338" t="s">
        <v>8143</v>
      </c>
      <c r="E304" s="338" t="s">
        <v>1175</v>
      </c>
      <c r="F304" s="338"/>
      <c r="G304" s="338" t="s">
        <v>413</v>
      </c>
      <c r="H304" s="338" t="s">
        <v>425</v>
      </c>
      <c r="I304" s="338" t="s">
        <v>1243</v>
      </c>
      <c r="J304" s="339"/>
      <c r="K304" s="339"/>
      <c r="L304" s="339" t="s">
        <v>409</v>
      </c>
      <c r="M304" s="339" t="s">
        <v>409</v>
      </c>
      <c r="N304" s="338"/>
      <c r="O304" s="338" t="s">
        <v>409</v>
      </c>
      <c r="P304" s="338" t="s">
        <v>417</v>
      </c>
    </row>
    <row r="305" spans="2:16" x14ac:dyDescent="0.25">
      <c r="B305" s="336" t="s">
        <v>459</v>
      </c>
      <c r="C305" s="337">
        <v>41527</v>
      </c>
      <c r="D305" s="338" t="s">
        <v>8142</v>
      </c>
      <c r="E305" s="338" t="s">
        <v>716</v>
      </c>
      <c r="F305" s="338"/>
      <c r="G305" s="338" t="s">
        <v>413</v>
      </c>
      <c r="H305" s="338" t="s">
        <v>425</v>
      </c>
      <c r="I305" s="338" t="s">
        <v>411</v>
      </c>
      <c r="J305" s="339"/>
      <c r="K305" s="339"/>
      <c r="L305" s="339" t="s">
        <v>409</v>
      </c>
      <c r="M305" s="339" t="s">
        <v>409</v>
      </c>
      <c r="N305" s="338" t="s">
        <v>410</v>
      </c>
      <c r="O305" s="338" t="s">
        <v>409</v>
      </c>
      <c r="P305" s="338" t="s">
        <v>443</v>
      </c>
    </row>
    <row r="306" spans="2:16" x14ac:dyDescent="0.25">
      <c r="B306" s="336" t="s">
        <v>416</v>
      </c>
      <c r="C306" s="337">
        <v>41527</v>
      </c>
      <c r="D306" s="338" t="s">
        <v>8141</v>
      </c>
      <c r="E306" s="338" t="s">
        <v>8140</v>
      </c>
      <c r="F306" s="338"/>
      <c r="G306" s="338" t="s">
        <v>413</v>
      </c>
      <c r="H306" s="338" t="s">
        <v>412</v>
      </c>
      <c r="I306" s="338" t="s">
        <v>411</v>
      </c>
      <c r="J306" s="339"/>
      <c r="K306" s="339"/>
      <c r="L306" s="339" t="s">
        <v>409</v>
      </c>
      <c r="M306" s="339" t="s">
        <v>409</v>
      </c>
      <c r="N306" s="338" t="s">
        <v>417</v>
      </c>
      <c r="O306" s="338" t="s">
        <v>409</v>
      </c>
      <c r="P306" s="338" t="s">
        <v>605</v>
      </c>
    </row>
    <row r="307" spans="2:16" x14ac:dyDescent="0.25">
      <c r="B307" s="336" t="s">
        <v>416</v>
      </c>
      <c r="C307" s="337">
        <v>41527</v>
      </c>
      <c r="D307" s="338" t="s">
        <v>8139</v>
      </c>
      <c r="E307" s="338" t="s">
        <v>1619</v>
      </c>
      <c r="F307" s="338" t="s">
        <v>8138</v>
      </c>
      <c r="G307" s="338">
        <v>149.5</v>
      </c>
      <c r="H307" s="338" t="s">
        <v>425</v>
      </c>
      <c r="I307" s="338" t="s">
        <v>411</v>
      </c>
      <c r="J307" s="339"/>
      <c r="K307" s="339"/>
      <c r="L307" s="339"/>
      <c r="M307" s="339"/>
      <c r="N307" s="338"/>
      <c r="O307" s="338" t="s">
        <v>417</v>
      </c>
      <c r="P307" s="338" t="s">
        <v>417</v>
      </c>
    </row>
    <row r="308" spans="2:16" x14ac:dyDescent="0.25">
      <c r="B308" s="336" t="s">
        <v>459</v>
      </c>
      <c r="C308" s="337">
        <v>41527</v>
      </c>
      <c r="D308" s="338" t="s">
        <v>8137</v>
      </c>
      <c r="E308" s="338" t="s">
        <v>8136</v>
      </c>
      <c r="F308" s="338"/>
      <c r="G308" s="338">
        <v>4.7</v>
      </c>
      <c r="H308" s="338" t="s">
        <v>425</v>
      </c>
      <c r="I308" s="338" t="s">
        <v>411</v>
      </c>
      <c r="J308" s="339"/>
      <c r="K308" s="339"/>
      <c r="L308" s="339" t="s">
        <v>409</v>
      </c>
      <c r="M308" s="339" t="s">
        <v>409</v>
      </c>
      <c r="N308" s="338" t="s">
        <v>432</v>
      </c>
      <c r="O308" s="338" t="s">
        <v>409</v>
      </c>
      <c r="P308" s="338"/>
    </row>
    <row r="309" spans="2:16" x14ac:dyDescent="0.25">
      <c r="B309" s="336" t="s">
        <v>416</v>
      </c>
      <c r="C309" s="337">
        <v>41526</v>
      </c>
      <c r="D309" s="338" t="s">
        <v>624</v>
      </c>
      <c r="E309" s="338" t="s">
        <v>6571</v>
      </c>
      <c r="F309" s="338" t="s">
        <v>1167</v>
      </c>
      <c r="G309" s="338">
        <v>6000</v>
      </c>
      <c r="H309" s="338" t="s">
        <v>412</v>
      </c>
      <c r="I309" s="338" t="s">
        <v>411</v>
      </c>
      <c r="J309" s="339"/>
      <c r="K309" s="339"/>
      <c r="L309" s="339"/>
      <c r="M309" s="339"/>
      <c r="N309" s="338" t="s">
        <v>417</v>
      </c>
      <c r="O309" s="338"/>
      <c r="P309" s="338"/>
    </row>
    <row r="310" spans="2:16" x14ac:dyDescent="0.25">
      <c r="B310" s="336" t="s">
        <v>416</v>
      </c>
      <c r="C310" s="337">
        <v>41526</v>
      </c>
      <c r="D310" s="338" t="s">
        <v>8135</v>
      </c>
      <c r="E310" s="338" t="s">
        <v>8134</v>
      </c>
      <c r="F310" s="338"/>
      <c r="G310" s="338">
        <v>8</v>
      </c>
      <c r="H310" s="338" t="s">
        <v>425</v>
      </c>
      <c r="I310" s="338" t="s">
        <v>411</v>
      </c>
      <c r="J310" s="339"/>
      <c r="K310" s="339"/>
      <c r="L310" s="339" t="s">
        <v>409</v>
      </c>
      <c r="M310" s="339" t="s">
        <v>409</v>
      </c>
      <c r="N310" s="338"/>
      <c r="O310" s="338" t="s">
        <v>409</v>
      </c>
      <c r="P310" s="338" t="s">
        <v>487</v>
      </c>
    </row>
    <row r="311" spans="2:16" x14ac:dyDescent="0.25">
      <c r="B311" s="336" t="s">
        <v>416</v>
      </c>
      <c r="C311" s="337">
        <v>41526</v>
      </c>
      <c r="D311" s="338" t="s">
        <v>8133</v>
      </c>
      <c r="E311" s="338" t="s">
        <v>2796</v>
      </c>
      <c r="F311" s="338" t="s">
        <v>8132</v>
      </c>
      <c r="G311" s="338" t="s">
        <v>413</v>
      </c>
      <c r="H311" s="338" t="s">
        <v>412</v>
      </c>
      <c r="I311" s="338" t="s">
        <v>411</v>
      </c>
      <c r="J311" s="339"/>
      <c r="K311" s="339"/>
      <c r="L311" s="339"/>
      <c r="M311" s="339"/>
      <c r="N311" s="338" t="s">
        <v>605</v>
      </c>
      <c r="O311" s="338" t="s">
        <v>432</v>
      </c>
      <c r="P311" s="338" t="s">
        <v>417</v>
      </c>
    </row>
    <row r="312" spans="2:16" x14ac:dyDescent="0.25">
      <c r="B312" s="336" t="s">
        <v>416</v>
      </c>
      <c r="C312" s="337">
        <v>41526</v>
      </c>
      <c r="D312" s="338" t="s">
        <v>8131</v>
      </c>
      <c r="E312" s="338" t="s">
        <v>8130</v>
      </c>
      <c r="F312" s="338"/>
      <c r="G312" s="338" t="s">
        <v>413</v>
      </c>
      <c r="H312" s="338" t="s">
        <v>412</v>
      </c>
      <c r="I312" s="338" t="s">
        <v>411</v>
      </c>
      <c r="J312" s="339"/>
      <c r="K312" s="339"/>
      <c r="L312" s="339" t="s">
        <v>409</v>
      </c>
      <c r="M312" s="339" t="s">
        <v>409</v>
      </c>
      <c r="N312" s="338" t="s">
        <v>417</v>
      </c>
      <c r="O312" s="338" t="s">
        <v>409</v>
      </c>
      <c r="P312" s="338" t="s">
        <v>410</v>
      </c>
    </row>
    <row r="313" spans="2:16" x14ac:dyDescent="0.25">
      <c r="B313" s="336" t="s">
        <v>416</v>
      </c>
      <c r="C313" s="337">
        <v>41524</v>
      </c>
      <c r="D313" s="338" t="s">
        <v>8129</v>
      </c>
      <c r="E313" s="338" t="s">
        <v>3843</v>
      </c>
      <c r="F313" s="338" t="s">
        <v>8128</v>
      </c>
      <c r="G313" s="338" t="s">
        <v>413</v>
      </c>
      <c r="H313" s="338" t="s">
        <v>412</v>
      </c>
      <c r="I313" s="338" t="s">
        <v>411</v>
      </c>
      <c r="J313" s="339"/>
      <c r="K313" s="339"/>
      <c r="L313" s="339"/>
      <c r="M313" s="339"/>
      <c r="N313" s="338"/>
      <c r="O313" s="338" t="s">
        <v>417</v>
      </c>
      <c r="P313" s="338" t="s">
        <v>417</v>
      </c>
    </row>
    <row r="314" spans="2:16" x14ac:dyDescent="0.25">
      <c r="B314" s="336" t="s">
        <v>416</v>
      </c>
      <c r="C314" s="337">
        <v>41523</v>
      </c>
      <c r="D314" s="338" t="s">
        <v>8127</v>
      </c>
      <c r="E314" s="338" t="s">
        <v>8126</v>
      </c>
      <c r="F314" s="338"/>
      <c r="G314" s="338" t="s">
        <v>413</v>
      </c>
      <c r="H314" s="338" t="s">
        <v>425</v>
      </c>
      <c r="I314" s="338" t="s">
        <v>411</v>
      </c>
      <c r="J314" s="339"/>
      <c r="K314" s="339"/>
      <c r="L314" s="339" t="s">
        <v>409</v>
      </c>
      <c r="M314" s="339" t="s">
        <v>409</v>
      </c>
      <c r="N314" s="338" t="s">
        <v>417</v>
      </c>
      <c r="O314" s="338" t="s">
        <v>409</v>
      </c>
      <c r="P314" s="338" t="s">
        <v>443</v>
      </c>
    </row>
    <row r="315" spans="2:16" x14ac:dyDescent="0.25">
      <c r="B315" s="336" t="s">
        <v>1441</v>
      </c>
      <c r="C315" s="337">
        <v>41523</v>
      </c>
      <c r="D315" s="338" t="s">
        <v>8125</v>
      </c>
      <c r="E315" s="338" t="s">
        <v>7142</v>
      </c>
      <c r="F315" s="338"/>
      <c r="G315" s="338" t="s">
        <v>413</v>
      </c>
      <c r="H315" s="338" t="s">
        <v>425</v>
      </c>
      <c r="I315" s="338" t="s">
        <v>411</v>
      </c>
      <c r="J315" s="339"/>
      <c r="K315" s="339"/>
      <c r="L315" s="339" t="s">
        <v>409</v>
      </c>
      <c r="M315" s="339" t="s">
        <v>409</v>
      </c>
      <c r="N315" s="338" t="s">
        <v>432</v>
      </c>
      <c r="O315" s="338" t="s">
        <v>409</v>
      </c>
      <c r="P315" s="338" t="s">
        <v>417</v>
      </c>
    </row>
    <row r="316" spans="2:16" x14ac:dyDescent="0.25">
      <c r="B316" s="336" t="s">
        <v>459</v>
      </c>
      <c r="C316" s="337">
        <v>41523</v>
      </c>
      <c r="D316" s="338" t="s">
        <v>8124</v>
      </c>
      <c r="E316" s="338" t="s">
        <v>1143</v>
      </c>
      <c r="F316" s="338"/>
      <c r="G316" s="338" t="s">
        <v>413</v>
      </c>
      <c r="H316" s="338" t="s">
        <v>412</v>
      </c>
      <c r="I316" s="338" t="s">
        <v>411</v>
      </c>
      <c r="J316" s="339"/>
      <c r="K316" s="339"/>
      <c r="L316" s="339" t="s">
        <v>409</v>
      </c>
      <c r="M316" s="339" t="s">
        <v>409</v>
      </c>
      <c r="N316" s="338" t="s">
        <v>417</v>
      </c>
      <c r="O316" s="338" t="s">
        <v>409</v>
      </c>
      <c r="P316" s="338" t="s">
        <v>417</v>
      </c>
    </row>
    <row r="317" spans="2:16" x14ac:dyDescent="0.25">
      <c r="B317" s="336" t="s">
        <v>541</v>
      </c>
      <c r="C317" s="337">
        <v>41523</v>
      </c>
      <c r="D317" s="338" t="s">
        <v>7819</v>
      </c>
      <c r="E317" s="338" t="s">
        <v>539</v>
      </c>
      <c r="F317" s="338" t="s">
        <v>7819</v>
      </c>
      <c r="G317" s="338" t="s">
        <v>413</v>
      </c>
      <c r="H317" s="338"/>
      <c r="I317" s="338" t="s">
        <v>1243</v>
      </c>
      <c r="J317" s="339"/>
      <c r="K317" s="339"/>
      <c r="L317" s="339"/>
      <c r="M317" s="339"/>
      <c r="N317" s="338" t="s">
        <v>417</v>
      </c>
      <c r="O317" s="338" t="s">
        <v>417</v>
      </c>
      <c r="P317" s="338" t="s">
        <v>409</v>
      </c>
    </row>
    <row r="318" spans="2:16" x14ac:dyDescent="0.25">
      <c r="B318" s="336" t="s">
        <v>416</v>
      </c>
      <c r="C318" s="337">
        <v>41522</v>
      </c>
      <c r="D318" s="338" t="s">
        <v>8123</v>
      </c>
      <c r="E318" s="338" t="s">
        <v>8122</v>
      </c>
      <c r="F318" s="338"/>
      <c r="G318" s="338" t="s">
        <v>413</v>
      </c>
      <c r="H318" s="338" t="s">
        <v>412</v>
      </c>
      <c r="I318" s="338" t="s">
        <v>411</v>
      </c>
      <c r="J318" s="339"/>
      <c r="K318" s="339"/>
      <c r="L318" s="339" t="s">
        <v>409</v>
      </c>
      <c r="M318" s="339" t="s">
        <v>409</v>
      </c>
      <c r="N318" s="338" t="s">
        <v>417</v>
      </c>
      <c r="O318" s="338" t="s">
        <v>409</v>
      </c>
      <c r="P318" s="338" t="s">
        <v>417</v>
      </c>
    </row>
    <row r="319" spans="2:16" x14ac:dyDescent="0.25">
      <c r="B319" s="336" t="s">
        <v>416</v>
      </c>
      <c r="C319" s="337">
        <v>41522</v>
      </c>
      <c r="D319" s="338" t="s">
        <v>8121</v>
      </c>
      <c r="E319" s="338" t="s">
        <v>3735</v>
      </c>
      <c r="F319" s="338"/>
      <c r="G319" s="338" t="s">
        <v>413</v>
      </c>
      <c r="H319" s="338" t="s">
        <v>412</v>
      </c>
      <c r="I319" s="338" t="s">
        <v>411</v>
      </c>
      <c r="J319" s="339"/>
      <c r="K319" s="339"/>
      <c r="L319" s="339" t="s">
        <v>409</v>
      </c>
      <c r="M319" s="339" t="s">
        <v>409</v>
      </c>
      <c r="N319" s="338" t="s">
        <v>408</v>
      </c>
      <c r="O319" s="338" t="s">
        <v>409</v>
      </c>
      <c r="P319" s="338" t="s">
        <v>417</v>
      </c>
    </row>
    <row r="320" spans="2:16" x14ac:dyDescent="0.25">
      <c r="B320" s="336" t="s">
        <v>416</v>
      </c>
      <c r="C320" s="337">
        <v>41522</v>
      </c>
      <c r="D320" s="338" t="s">
        <v>8120</v>
      </c>
      <c r="E320" s="338" t="s">
        <v>8119</v>
      </c>
      <c r="F320" s="338"/>
      <c r="G320" s="338" t="s">
        <v>413</v>
      </c>
      <c r="H320" s="338" t="s">
        <v>412</v>
      </c>
      <c r="I320" s="338" t="s">
        <v>411</v>
      </c>
      <c r="J320" s="339"/>
      <c r="K320" s="339"/>
      <c r="L320" s="339" t="s">
        <v>409</v>
      </c>
      <c r="M320" s="339" t="s">
        <v>409</v>
      </c>
      <c r="N320" s="338" t="s">
        <v>417</v>
      </c>
      <c r="O320" s="338" t="s">
        <v>409</v>
      </c>
      <c r="P320" s="338" t="s">
        <v>417</v>
      </c>
    </row>
    <row r="321" spans="2:16" x14ac:dyDescent="0.25">
      <c r="B321" s="336" t="s">
        <v>416</v>
      </c>
      <c r="C321" s="337">
        <v>41522</v>
      </c>
      <c r="D321" s="338" t="s">
        <v>688</v>
      </c>
      <c r="E321" s="338" t="s">
        <v>8118</v>
      </c>
      <c r="F321" s="338" t="s">
        <v>8117</v>
      </c>
      <c r="G321" s="338" t="s">
        <v>413</v>
      </c>
      <c r="H321" s="338" t="s">
        <v>412</v>
      </c>
      <c r="I321" s="338" t="s">
        <v>411</v>
      </c>
      <c r="J321" s="339"/>
      <c r="K321" s="339"/>
      <c r="L321" s="339"/>
      <c r="M321" s="339"/>
      <c r="N321" s="338" t="s">
        <v>417</v>
      </c>
      <c r="O321" s="338"/>
      <c r="P321" s="338" t="s">
        <v>417</v>
      </c>
    </row>
    <row r="322" spans="2:16" x14ac:dyDescent="0.25">
      <c r="B322" s="336" t="s">
        <v>416</v>
      </c>
      <c r="C322" s="337">
        <v>41521</v>
      </c>
      <c r="D322" s="338" t="s">
        <v>956</v>
      </c>
      <c r="E322" s="338" t="s">
        <v>7022</v>
      </c>
      <c r="F322" s="338" t="s">
        <v>8116</v>
      </c>
      <c r="G322" s="338" t="s">
        <v>413</v>
      </c>
      <c r="H322" s="338" t="s">
        <v>425</v>
      </c>
      <c r="I322" s="338" t="s">
        <v>411</v>
      </c>
      <c r="J322" s="339"/>
      <c r="K322" s="339"/>
      <c r="L322" s="339"/>
      <c r="M322" s="339"/>
      <c r="N322" s="338"/>
      <c r="O322" s="338" t="s">
        <v>417</v>
      </c>
      <c r="P322" s="338" t="s">
        <v>605</v>
      </c>
    </row>
    <row r="323" spans="2:16" x14ac:dyDescent="0.25">
      <c r="B323" s="336" t="s">
        <v>416</v>
      </c>
      <c r="C323" s="337">
        <v>41521</v>
      </c>
      <c r="D323" s="338" t="s">
        <v>8115</v>
      </c>
      <c r="E323" s="338" t="s">
        <v>8114</v>
      </c>
      <c r="F323" s="338"/>
      <c r="G323" s="338" t="s">
        <v>413</v>
      </c>
      <c r="H323" s="338" t="s">
        <v>412</v>
      </c>
      <c r="I323" s="338" t="s">
        <v>411</v>
      </c>
      <c r="J323" s="339"/>
      <c r="K323" s="339"/>
      <c r="L323" s="339" t="s">
        <v>409</v>
      </c>
      <c r="M323" s="339" t="s">
        <v>409</v>
      </c>
      <c r="N323" s="338" t="s">
        <v>417</v>
      </c>
      <c r="O323" s="338" t="s">
        <v>409</v>
      </c>
      <c r="P323" s="338"/>
    </row>
    <row r="324" spans="2:16" x14ac:dyDescent="0.25">
      <c r="B324" s="336" t="s">
        <v>416</v>
      </c>
      <c r="C324" s="337">
        <v>41520</v>
      </c>
      <c r="D324" s="338" t="s">
        <v>8113</v>
      </c>
      <c r="E324" s="338" t="s">
        <v>8112</v>
      </c>
      <c r="F324" s="338" t="s">
        <v>2878</v>
      </c>
      <c r="G324" s="338" t="s">
        <v>413</v>
      </c>
      <c r="H324" s="338" t="s">
        <v>412</v>
      </c>
      <c r="I324" s="338" t="s">
        <v>1243</v>
      </c>
      <c r="J324" s="339"/>
      <c r="K324" s="339"/>
      <c r="L324" s="339">
        <v>0.29694599999999999</v>
      </c>
      <c r="M324" s="339">
        <v>6.6034800000000002</v>
      </c>
      <c r="N324" s="338"/>
      <c r="O324" s="338" t="s">
        <v>410</v>
      </c>
      <c r="P324" s="338" t="s">
        <v>410</v>
      </c>
    </row>
    <row r="325" spans="2:16" x14ac:dyDescent="0.25">
      <c r="B325" s="336" t="s">
        <v>416</v>
      </c>
      <c r="C325" s="337">
        <v>41520</v>
      </c>
      <c r="D325" s="338" t="s">
        <v>3664</v>
      </c>
      <c r="E325" s="338" t="s">
        <v>8111</v>
      </c>
      <c r="F325" s="338" t="s">
        <v>3663</v>
      </c>
      <c r="G325" s="338" t="s">
        <v>413</v>
      </c>
      <c r="H325" s="338" t="s">
        <v>412</v>
      </c>
      <c r="I325" s="338" t="s">
        <v>1243</v>
      </c>
      <c r="J325" s="339"/>
      <c r="K325" s="339"/>
      <c r="L325" s="339"/>
      <c r="M325" s="339"/>
      <c r="N325" s="338"/>
      <c r="O325" s="338" t="s">
        <v>443</v>
      </c>
      <c r="P325" s="338" t="s">
        <v>417</v>
      </c>
    </row>
    <row r="326" spans="2:16" x14ac:dyDescent="0.25">
      <c r="B326" s="336" t="s">
        <v>416</v>
      </c>
      <c r="C326" s="337">
        <v>41520</v>
      </c>
      <c r="D326" s="338" t="s">
        <v>6566</v>
      </c>
      <c r="E326" s="338" t="s">
        <v>7291</v>
      </c>
      <c r="F326" s="338"/>
      <c r="G326" s="338" t="s">
        <v>413</v>
      </c>
      <c r="H326" s="338" t="s">
        <v>412</v>
      </c>
      <c r="I326" s="338" t="s">
        <v>411</v>
      </c>
      <c r="J326" s="339"/>
      <c r="K326" s="339"/>
      <c r="L326" s="339" t="s">
        <v>409</v>
      </c>
      <c r="M326" s="339" t="s">
        <v>409</v>
      </c>
      <c r="N326" s="338" t="s">
        <v>417</v>
      </c>
      <c r="O326" s="338" t="s">
        <v>409</v>
      </c>
      <c r="P326" s="338" t="s">
        <v>482</v>
      </c>
    </row>
    <row r="327" spans="2:16" x14ac:dyDescent="0.25">
      <c r="B327" s="336" t="s">
        <v>416</v>
      </c>
      <c r="C327" s="337">
        <v>41520</v>
      </c>
      <c r="D327" s="338" t="s">
        <v>8110</v>
      </c>
      <c r="E327" s="338" t="s">
        <v>4486</v>
      </c>
      <c r="F327" s="338" t="s">
        <v>2962</v>
      </c>
      <c r="G327" s="338" t="s">
        <v>413</v>
      </c>
      <c r="H327" s="338" t="s">
        <v>425</v>
      </c>
      <c r="I327" s="338" t="s">
        <v>1243</v>
      </c>
      <c r="J327" s="339"/>
      <c r="K327" s="339"/>
      <c r="L327" s="339"/>
      <c r="M327" s="339"/>
      <c r="N327" s="338"/>
      <c r="O327" s="338" t="s">
        <v>417</v>
      </c>
      <c r="P327" s="338" t="s">
        <v>432</v>
      </c>
    </row>
    <row r="328" spans="2:16" x14ac:dyDescent="0.25">
      <c r="B328" s="336" t="s">
        <v>416</v>
      </c>
      <c r="C328" s="337">
        <v>41520</v>
      </c>
      <c r="D328" s="338" t="s">
        <v>8109</v>
      </c>
      <c r="E328" s="338" t="s">
        <v>6054</v>
      </c>
      <c r="F328" s="338"/>
      <c r="G328" s="338" t="s">
        <v>413</v>
      </c>
      <c r="H328" s="338" t="s">
        <v>412</v>
      </c>
      <c r="I328" s="338" t="s">
        <v>411</v>
      </c>
      <c r="J328" s="339"/>
      <c r="K328" s="339"/>
      <c r="L328" s="339" t="s">
        <v>409</v>
      </c>
      <c r="M328" s="339" t="s">
        <v>409</v>
      </c>
      <c r="N328" s="338" t="s">
        <v>417</v>
      </c>
      <c r="O328" s="338" t="s">
        <v>409</v>
      </c>
      <c r="P328" s="338" t="s">
        <v>417</v>
      </c>
    </row>
    <row r="329" spans="2:16" x14ac:dyDescent="0.25">
      <c r="B329" s="336" t="s">
        <v>416</v>
      </c>
      <c r="C329" s="337">
        <v>41516</v>
      </c>
      <c r="D329" s="338" t="s">
        <v>3488</v>
      </c>
      <c r="E329" s="338" t="s">
        <v>8108</v>
      </c>
      <c r="F329" s="338" t="s">
        <v>8107</v>
      </c>
      <c r="G329" s="338">
        <v>2.8</v>
      </c>
      <c r="H329" s="338" t="s">
        <v>425</v>
      </c>
      <c r="I329" s="338" t="s">
        <v>411</v>
      </c>
      <c r="J329" s="339"/>
      <c r="K329" s="339"/>
      <c r="L329" s="339"/>
      <c r="M329" s="339"/>
      <c r="N329" s="338"/>
      <c r="O329" s="338" t="s">
        <v>417</v>
      </c>
      <c r="P329" s="338" t="s">
        <v>410</v>
      </c>
    </row>
    <row r="330" spans="2:16" x14ac:dyDescent="0.25">
      <c r="B330" s="336" t="s">
        <v>459</v>
      </c>
      <c r="C330" s="337">
        <v>41515</v>
      </c>
      <c r="D330" s="338" t="s">
        <v>7118</v>
      </c>
      <c r="E330" s="338" t="s">
        <v>8106</v>
      </c>
      <c r="F330" s="338"/>
      <c r="G330" s="338">
        <v>3.2</v>
      </c>
      <c r="H330" s="338" t="s">
        <v>425</v>
      </c>
      <c r="I330" s="338" t="s">
        <v>411</v>
      </c>
      <c r="J330" s="339"/>
      <c r="K330" s="339"/>
      <c r="L330" s="339" t="s">
        <v>409</v>
      </c>
      <c r="M330" s="339" t="s">
        <v>409</v>
      </c>
      <c r="N330" s="338" t="s">
        <v>432</v>
      </c>
      <c r="O330" s="338" t="s">
        <v>409</v>
      </c>
      <c r="P330" s="338"/>
    </row>
    <row r="331" spans="2:16" x14ac:dyDescent="0.25">
      <c r="B331" s="336" t="s">
        <v>416</v>
      </c>
      <c r="C331" s="337">
        <v>41515</v>
      </c>
      <c r="D331" s="338" t="s">
        <v>8105</v>
      </c>
      <c r="E331" s="338" t="s">
        <v>8104</v>
      </c>
      <c r="F331" s="338"/>
      <c r="G331" s="338" t="s">
        <v>413</v>
      </c>
      <c r="H331" s="338" t="s">
        <v>412</v>
      </c>
      <c r="I331" s="338" t="s">
        <v>411</v>
      </c>
      <c r="J331" s="339"/>
      <c r="K331" s="339"/>
      <c r="L331" s="339" t="s">
        <v>409</v>
      </c>
      <c r="M331" s="339" t="s">
        <v>409</v>
      </c>
      <c r="N331" s="338" t="s">
        <v>410</v>
      </c>
      <c r="O331" s="338" t="s">
        <v>409</v>
      </c>
      <c r="P331" s="338" t="s">
        <v>432</v>
      </c>
    </row>
    <row r="332" spans="2:16" x14ac:dyDescent="0.25">
      <c r="B332" s="336" t="s">
        <v>416</v>
      </c>
      <c r="C332" s="337">
        <v>41515</v>
      </c>
      <c r="D332" s="338" t="s">
        <v>8103</v>
      </c>
      <c r="E332" s="338" t="s">
        <v>5527</v>
      </c>
      <c r="F332" s="338"/>
      <c r="G332" s="338">
        <v>13.5</v>
      </c>
      <c r="H332" s="338" t="s">
        <v>429</v>
      </c>
      <c r="I332" s="338" t="s">
        <v>411</v>
      </c>
      <c r="J332" s="339"/>
      <c r="K332" s="339"/>
      <c r="L332" s="339" t="s">
        <v>409</v>
      </c>
      <c r="M332" s="339" t="s">
        <v>409</v>
      </c>
      <c r="N332" s="338" t="s">
        <v>417</v>
      </c>
      <c r="O332" s="338" t="s">
        <v>409</v>
      </c>
      <c r="P332" s="338" t="s">
        <v>487</v>
      </c>
    </row>
    <row r="333" spans="2:16" x14ac:dyDescent="0.25">
      <c r="B333" s="336" t="s">
        <v>416</v>
      </c>
      <c r="C333" s="337">
        <v>41514</v>
      </c>
      <c r="D333" s="338" t="s">
        <v>8102</v>
      </c>
      <c r="E333" s="338" t="s">
        <v>2648</v>
      </c>
      <c r="F333" s="338"/>
      <c r="G333" s="338" t="s">
        <v>413</v>
      </c>
      <c r="H333" s="338" t="s">
        <v>412</v>
      </c>
      <c r="I333" s="338" t="s">
        <v>1243</v>
      </c>
      <c r="J333" s="339"/>
      <c r="K333" s="339"/>
      <c r="L333" s="339" t="s">
        <v>409</v>
      </c>
      <c r="M333" s="339" t="s">
        <v>409</v>
      </c>
      <c r="N333" s="338" t="s">
        <v>417</v>
      </c>
      <c r="O333" s="338" t="s">
        <v>409</v>
      </c>
      <c r="P333" s="338" t="s">
        <v>443</v>
      </c>
    </row>
    <row r="334" spans="2:16" x14ac:dyDescent="0.25">
      <c r="B334" s="336" t="s">
        <v>416</v>
      </c>
      <c r="C334" s="337">
        <v>41514</v>
      </c>
      <c r="D334" s="338" t="s">
        <v>8101</v>
      </c>
      <c r="E334" s="338" t="s">
        <v>450</v>
      </c>
      <c r="F334" s="338" t="s">
        <v>934</v>
      </c>
      <c r="G334" s="338">
        <v>62</v>
      </c>
      <c r="H334" s="338" t="s">
        <v>425</v>
      </c>
      <c r="I334" s="338" t="s">
        <v>411</v>
      </c>
      <c r="J334" s="339"/>
      <c r="K334" s="339"/>
      <c r="L334" s="339">
        <v>0.87229000000000001</v>
      </c>
      <c r="M334" s="339">
        <v>42.863199999999999</v>
      </c>
      <c r="N334" s="338"/>
      <c r="O334" s="338" t="s">
        <v>417</v>
      </c>
      <c r="P334" s="338" t="s">
        <v>417</v>
      </c>
    </row>
    <row r="335" spans="2:16" x14ac:dyDescent="0.25">
      <c r="B335" s="336" t="s">
        <v>416</v>
      </c>
      <c r="C335" s="337">
        <v>41514</v>
      </c>
      <c r="D335" s="338" t="s">
        <v>8100</v>
      </c>
      <c r="E335" s="338" t="s">
        <v>8099</v>
      </c>
      <c r="F335" s="338"/>
      <c r="G335" s="338">
        <v>37</v>
      </c>
      <c r="H335" s="338" t="s">
        <v>418</v>
      </c>
      <c r="I335" s="338" t="s">
        <v>411</v>
      </c>
      <c r="J335" s="339"/>
      <c r="K335" s="339"/>
      <c r="L335" s="339" t="s">
        <v>409</v>
      </c>
      <c r="M335" s="339" t="s">
        <v>409</v>
      </c>
      <c r="N335" s="338" t="s">
        <v>417</v>
      </c>
      <c r="O335" s="338" t="s">
        <v>409</v>
      </c>
      <c r="P335" s="338" t="s">
        <v>417</v>
      </c>
    </row>
    <row r="336" spans="2:16" x14ac:dyDescent="0.25">
      <c r="B336" s="336" t="s">
        <v>416</v>
      </c>
      <c r="C336" s="337">
        <v>41513</v>
      </c>
      <c r="D336" s="338" t="s">
        <v>8098</v>
      </c>
      <c r="E336" s="338" t="s">
        <v>808</v>
      </c>
      <c r="F336" s="338"/>
      <c r="G336" s="338" t="s">
        <v>413</v>
      </c>
      <c r="H336" s="338" t="s">
        <v>412</v>
      </c>
      <c r="I336" s="338" t="s">
        <v>411</v>
      </c>
      <c r="J336" s="339"/>
      <c r="K336" s="339"/>
      <c r="L336" s="339" t="s">
        <v>409</v>
      </c>
      <c r="M336" s="339" t="s">
        <v>409</v>
      </c>
      <c r="N336" s="338" t="s">
        <v>417</v>
      </c>
      <c r="O336" s="338" t="s">
        <v>409</v>
      </c>
      <c r="P336" s="338" t="s">
        <v>417</v>
      </c>
    </row>
    <row r="337" spans="2:16" x14ac:dyDescent="0.25">
      <c r="B337" s="336" t="s">
        <v>416</v>
      </c>
      <c r="C337" s="337">
        <v>41512</v>
      </c>
      <c r="D337" s="338" t="s">
        <v>8097</v>
      </c>
      <c r="E337" s="338" t="s">
        <v>8096</v>
      </c>
      <c r="F337" s="338" t="s">
        <v>8095</v>
      </c>
      <c r="G337" s="338">
        <v>5.0999999999999996</v>
      </c>
      <c r="H337" s="338" t="s">
        <v>425</v>
      </c>
      <c r="I337" s="338" t="s">
        <v>411</v>
      </c>
      <c r="J337" s="339"/>
      <c r="K337" s="339"/>
      <c r="L337" s="339">
        <v>5.9808000000000003</v>
      </c>
      <c r="M337" s="339">
        <v>12.2034</v>
      </c>
      <c r="N337" s="338" t="s">
        <v>417</v>
      </c>
      <c r="O337" s="338" t="s">
        <v>410</v>
      </c>
      <c r="P337" s="338" t="s">
        <v>410</v>
      </c>
    </row>
    <row r="338" spans="2:16" x14ac:dyDescent="0.25">
      <c r="B338" s="336" t="s">
        <v>1441</v>
      </c>
      <c r="C338" s="337">
        <v>41508</v>
      </c>
      <c r="D338" s="338" t="s">
        <v>8094</v>
      </c>
      <c r="E338" s="338" t="s">
        <v>8093</v>
      </c>
      <c r="F338" s="338"/>
      <c r="G338" s="338" t="s">
        <v>413</v>
      </c>
      <c r="H338" s="338" t="s">
        <v>412</v>
      </c>
      <c r="I338" s="338" t="s">
        <v>411</v>
      </c>
      <c r="J338" s="339"/>
      <c r="K338" s="339"/>
      <c r="L338" s="339" t="s">
        <v>409</v>
      </c>
      <c r="M338" s="339" t="s">
        <v>409</v>
      </c>
      <c r="N338" s="338" t="s">
        <v>417</v>
      </c>
      <c r="O338" s="338" t="s">
        <v>409</v>
      </c>
      <c r="P338" s="338" t="s">
        <v>417</v>
      </c>
    </row>
    <row r="339" spans="2:16" x14ac:dyDescent="0.25">
      <c r="B339" s="336" t="s">
        <v>459</v>
      </c>
      <c r="C339" s="337">
        <v>41507</v>
      </c>
      <c r="D339" s="338" t="s">
        <v>8092</v>
      </c>
      <c r="E339" s="338" t="s">
        <v>8091</v>
      </c>
      <c r="F339" s="338"/>
      <c r="G339" s="338" t="s">
        <v>413</v>
      </c>
      <c r="H339" s="338" t="s">
        <v>412</v>
      </c>
      <c r="I339" s="338" t="s">
        <v>411</v>
      </c>
      <c r="J339" s="339"/>
      <c r="K339" s="339"/>
      <c r="L339" s="339" t="s">
        <v>409</v>
      </c>
      <c r="M339" s="339" t="s">
        <v>409</v>
      </c>
      <c r="N339" s="338" t="s">
        <v>417</v>
      </c>
      <c r="O339" s="338" t="s">
        <v>409</v>
      </c>
      <c r="P339" s="338" t="s">
        <v>443</v>
      </c>
    </row>
    <row r="340" spans="2:16" x14ac:dyDescent="0.25">
      <c r="B340" s="336" t="s">
        <v>416</v>
      </c>
      <c r="C340" s="337">
        <v>41507</v>
      </c>
      <c r="D340" s="338" t="s">
        <v>8090</v>
      </c>
      <c r="E340" s="338" t="s">
        <v>8089</v>
      </c>
      <c r="F340" s="338"/>
      <c r="G340" s="338" t="s">
        <v>413</v>
      </c>
      <c r="H340" s="338" t="s">
        <v>507</v>
      </c>
      <c r="I340" s="338" t="s">
        <v>411</v>
      </c>
      <c r="J340" s="339"/>
      <c r="K340" s="339"/>
      <c r="L340" s="339" t="s">
        <v>409</v>
      </c>
      <c r="M340" s="339" t="s">
        <v>409</v>
      </c>
      <c r="N340" s="338" t="s">
        <v>410</v>
      </c>
      <c r="O340" s="338" t="s">
        <v>409</v>
      </c>
      <c r="P340" s="338" t="s">
        <v>417</v>
      </c>
    </row>
    <row r="341" spans="2:16" x14ac:dyDescent="0.25">
      <c r="B341" s="336" t="s">
        <v>416</v>
      </c>
      <c r="C341" s="337">
        <v>41506</v>
      </c>
      <c r="D341" s="338" t="s">
        <v>1911</v>
      </c>
      <c r="E341" s="338" t="s">
        <v>514</v>
      </c>
      <c r="F341" s="338"/>
      <c r="G341" s="338" t="s">
        <v>413</v>
      </c>
      <c r="H341" s="338" t="s">
        <v>412</v>
      </c>
      <c r="I341" s="338" t="s">
        <v>411</v>
      </c>
      <c r="J341" s="339"/>
      <c r="K341" s="339"/>
      <c r="L341" s="339" t="s">
        <v>409</v>
      </c>
      <c r="M341" s="339" t="s">
        <v>409</v>
      </c>
      <c r="N341" s="338" t="s">
        <v>417</v>
      </c>
      <c r="O341" s="338" t="s">
        <v>409</v>
      </c>
      <c r="P341" s="338"/>
    </row>
    <row r="342" spans="2:16" x14ac:dyDescent="0.25">
      <c r="B342" s="336" t="s">
        <v>416</v>
      </c>
      <c r="C342" s="337">
        <v>41505</v>
      </c>
      <c r="D342" s="338" t="s">
        <v>8088</v>
      </c>
      <c r="E342" s="338" t="s">
        <v>8087</v>
      </c>
      <c r="F342" s="338"/>
      <c r="G342" s="338" t="s">
        <v>413</v>
      </c>
      <c r="H342" s="338" t="s">
        <v>412</v>
      </c>
      <c r="I342" s="338" t="s">
        <v>411</v>
      </c>
      <c r="J342" s="339"/>
      <c r="K342" s="339"/>
      <c r="L342" s="339" t="s">
        <v>409</v>
      </c>
      <c r="M342" s="339" t="s">
        <v>409</v>
      </c>
      <c r="N342" s="338" t="s">
        <v>417</v>
      </c>
      <c r="O342" s="338" t="s">
        <v>409</v>
      </c>
      <c r="P342" s="338" t="s">
        <v>417</v>
      </c>
    </row>
    <row r="343" spans="2:16" x14ac:dyDescent="0.25">
      <c r="B343" s="336" t="s">
        <v>416</v>
      </c>
      <c r="C343" s="337">
        <v>41502</v>
      </c>
      <c r="D343" s="338" t="s">
        <v>8086</v>
      </c>
      <c r="E343" s="338" t="s">
        <v>8085</v>
      </c>
      <c r="F343" s="338" t="s">
        <v>742</v>
      </c>
      <c r="G343" s="338">
        <v>260</v>
      </c>
      <c r="H343" s="338" t="s">
        <v>425</v>
      </c>
      <c r="I343" s="338" t="s">
        <v>1243</v>
      </c>
      <c r="J343" s="339"/>
      <c r="K343" s="339"/>
      <c r="L343" s="339">
        <v>3.6272700000000002</v>
      </c>
      <c r="M343" s="339">
        <v>19.650700000000001</v>
      </c>
      <c r="N343" s="338"/>
      <c r="O343" s="338" t="s">
        <v>417</v>
      </c>
      <c r="P343" s="338" t="s">
        <v>417</v>
      </c>
    </row>
    <row r="344" spans="2:16" x14ac:dyDescent="0.25">
      <c r="B344" s="336" t="s">
        <v>416</v>
      </c>
      <c r="C344" s="337">
        <v>41502</v>
      </c>
      <c r="D344" s="338" t="s">
        <v>8084</v>
      </c>
      <c r="E344" s="338" t="s">
        <v>1119</v>
      </c>
      <c r="F344" s="338" t="s">
        <v>6198</v>
      </c>
      <c r="G344" s="338" t="s">
        <v>413</v>
      </c>
      <c r="H344" s="338" t="s">
        <v>425</v>
      </c>
      <c r="I344" s="338" t="s">
        <v>411</v>
      </c>
      <c r="J344" s="339"/>
      <c r="K344" s="339"/>
      <c r="L344" s="339">
        <v>1.9769399999999999</v>
      </c>
      <c r="M344" s="339">
        <v>8.8183500000000006</v>
      </c>
      <c r="N344" s="338"/>
      <c r="O344" s="338" t="s">
        <v>417</v>
      </c>
      <c r="P344" s="338" t="s">
        <v>417</v>
      </c>
    </row>
    <row r="345" spans="2:16" x14ac:dyDescent="0.25">
      <c r="B345" s="336" t="s">
        <v>416</v>
      </c>
      <c r="C345" s="337">
        <v>41501</v>
      </c>
      <c r="D345" s="338" t="s">
        <v>8083</v>
      </c>
      <c r="E345" s="338" t="s">
        <v>8082</v>
      </c>
      <c r="F345" s="338" t="s">
        <v>8081</v>
      </c>
      <c r="G345" s="338" t="s">
        <v>413</v>
      </c>
      <c r="H345" s="338" t="s">
        <v>412</v>
      </c>
      <c r="I345" s="338" t="s">
        <v>1243</v>
      </c>
      <c r="J345" s="339"/>
      <c r="K345" s="339"/>
      <c r="L345" s="339"/>
      <c r="M345" s="339"/>
      <c r="N345" s="338" t="s">
        <v>432</v>
      </c>
      <c r="O345" s="338" t="s">
        <v>443</v>
      </c>
      <c r="P345" s="338"/>
    </row>
    <row r="346" spans="2:16" x14ac:dyDescent="0.25">
      <c r="B346" s="336" t="s">
        <v>416</v>
      </c>
      <c r="C346" s="337">
        <v>41501</v>
      </c>
      <c r="D346" s="338" t="s">
        <v>8080</v>
      </c>
      <c r="E346" s="338" t="s">
        <v>514</v>
      </c>
      <c r="F346" s="338"/>
      <c r="G346" s="338">
        <v>320</v>
      </c>
      <c r="H346" s="338" t="s">
        <v>425</v>
      </c>
      <c r="I346" s="338" t="s">
        <v>411</v>
      </c>
      <c r="J346" s="339"/>
      <c r="K346" s="339"/>
      <c r="L346" s="339" t="s">
        <v>409</v>
      </c>
      <c r="M346" s="339" t="s">
        <v>409</v>
      </c>
      <c r="N346" s="338" t="s">
        <v>417</v>
      </c>
      <c r="O346" s="338" t="s">
        <v>409</v>
      </c>
      <c r="P346" s="338"/>
    </row>
    <row r="347" spans="2:16" x14ac:dyDescent="0.25">
      <c r="B347" s="336" t="s">
        <v>416</v>
      </c>
      <c r="C347" s="337">
        <v>41501</v>
      </c>
      <c r="D347" s="338" t="s">
        <v>8079</v>
      </c>
      <c r="E347" s="338" t="s">
        <v>8078</v>
      </c>
      <c r="F347" s="338"/>
      <c r="G347" s="338" t="s">
        <v>413</v>
      </c>
      <c r="H347" s="338" t="s">
        <v>412</v>
      </c>
      <c r="I347" s="338" t="s">
        <v>411</v>
      </c>
      <c r="J347" s="339"/>
      <c r="K347" s="339"/>
      <c r="L347" s="339" t="s">
        <v>409</v>
      </c>
      <c r="M347" s="339" t="s">
        <v>409</v>
      </c>
      <c r="N347" s="338" t="s">
        <v>417</v>
      </c>
      <c r="O347" s="338" t="s">
        <v>409</v>
      </c>
      <c r="P347" s="338" t="s">
        <v>417</v>
      </c>
    </row>
    <row r="348" spans="2:16" x14ac:dyDescent="0.25">
      <c r="B348" s="336" t="s">
        <v>416</v>
      </c>
      <c r="C348" s="337">
        <v>41500</v>
      </c>
      <c r="D348" s="338" t="s">
        <v>8077</v>
      </c>
      <c r="E348" s="338" t="s">
        <v>8076</v>
      </c>
      <c r="F348" s="338"/>
      <c r="G348" s="338" t="s">
        <v>413</v>
      </c>
      <c r="H348" s="338" t="s">
        <v>412</v>
      </c>
      <c r="I348" s="338" t="s">
        <v>411</v>
      </c>
      <c r="J348" s="339"/>
      <c r="K348" s="339"/>
      <c r="L348" s="339" t="s">
        <v>409</v>
      </c>
      <c r="M348" s="339" t="s">
        <v>409</v>
      </c>
      <c r="N348" s="338" t="s">
        <v>417</v>
      </c>
      <c r="O348" s="338" t="s">
        <v>409</v>
      </c>
      <c r="P348" s="338" t="s">
        <v>417</v>
      </c>
    </row>
    <row r="349" spans="2:16" x14ac:dyDescent="0.25">
      <c r="B349" s="336" t="s">
        <v>416</v>
      </c>
      <c r="C349" s="337">
        <v>41500</v>
      </c>
      <c r="D349" s="338" t="s">
        <v>8075</v>
      </c>
      <c r="E349" s="338" t="s">
        <v>7912</v>
      </c>
      <c r="F349" s="338"/>
      <c r="G349" s="338" t="s">
        <v>413</v>
      </c>
      <c r="H349" s="338" t="s">
        <v>412</v>
      </c>
      <c r="I349" s="338" t="s">
        <v>411</v>
      </c>
      <c r="J349" s="339"/>
      <c r="K349" s="339"/>
      <c r="L349" s="339" t="s">
        <v>409</v>
      </c>
      <c r="M349" s="339" t="s">
        <v>409</v>
      </c>
      <c r="N349" s="338" t="s">
        <v>410</v>
      </c>
      <c r="O349" s="338" t="s">
        <v>409</v>
      </c>
      <c r="P349" s="338" t="s">
        <v>417</v>
      </c>
    </row>
    <row r="350" spans="2:16" x14ac:dyDescent="0.25">
      <c r="B350" s="336" t="s">
        <v>416</v>
      </c>
      <c r="C350" s="337">
        <v>41500</v>
      </c>
      <c r="D350" s="338" t="s">
        <v>8074</v>
      </c>
      <c r="E350" s="338" t="s">
        <v>8073</v>
      </c>
      <c r="F350" s="338"/>
      <c r="G350" s="338" t="s">
        <v>413</v>
      </c>
      <c r="H350" s="338" t="s">
        <v>412</v>
      </c>
      <c r="I350" s="338" t="s">
        <v>411</v>
      </c>
      <c r="J350" s="339"/>
      <c r="K350" s="339"/>
      <c r="L350" s="339" t="s">
        <v>409</v>
      </c>
      <c r="M350" s="339" t="s">
        <v>409</v>
      </c>
      <c r="N350" s="338" t="s">
        <v>417</v>
      </c>
      <c r="O350" s="338" t="s">
        <v>409</v>
      </c>
      <c r="P350" s="338" t="s">
        <v>410</v>
      </c>
    </row>
    <row r="351" spans="2:16" x14ac:dyDescent="0.25">
      <c r="B351" s="336" t="s">
        <v>1441</v>
      </c>
      <c r="C351" s="337">
        <v>41500</v>
      </c>
      <c r="D351" s="338" t="s">
        <v>6420</v>
      </c>
      <c r="E351" s="338" t="s">
        <v>8072</v>
      </c>
      <c r="F351" s="338"/>
      <c r="G351" s="338" t="s">
        <v>413</v>
      </c>
      <c r="H351" s="338" t="s">
        <v>412</v>
      </c>
      <c r="I351" s="338" t="s">
        <v>1243</v>
      </c>
      <c r="J351" s="339"/>
      <c r="K351" s="339"/>
      <c r="L351" s="339" t="s">
        <v>409</v>
      </c>
      <c r="M351" s="339" t="s">
        <v>409</v>
      </c>
      <c r="N351" s="338" t="s">
        <v>417</v>
      </c>
      <c r="O351" s="338" t="s">
        <v>409</v>
      </c>
      <c r="P351" s="338" t="s">
        <v>417</v>
      </c>
    </row>
    <row r="352" spans="2:16" x14ac:dyDescent="0.25">
      <c r="B352" s="336" t="s">
        <v>416</v>
      </c>
      <c r="C352" s="337">
        <v>41498</v>
      </c>
      <c r="D352" s="338" t="s">
        <v>4295</v>
      </c>
      <c r="E352" s="338" t="s">
        <v>8071</v>
      </c>
      <c r="F352" s="338"/>
      <c r="G352" s="338">
        <v>473.56</v>
      </c>
      <c r="H352" s="338" t="s">
        <v>425</v>
      </c>
      <c r="I352" s="338" t="s">
        <v>411</v>
      </c>
      <c r="J352" s="339">
        <v>0.95572900000000005</v>
      </c>
      <c r="K352" s="339">
        <v>7.7199400000000002</v>
      </c>
      <c r="L352" s="339" t="s">
        <v>409</v>
      </c>
      <c r="M352" s="339" t="s">
        <v>409</v>
      </c>
      <c r="N352" s="338" t="s">
        <v>417</v>
      </c>
      <c r="O352" s="338" t="s">
        <v>409</v>
      </c>
      <c r="P352" s="338" t="s">
        <v>443</v>
      </c>
    </row>
    <row r="353" spans="2:16" x14ac:dyDescent="0.25">
      <c r="B353" s="336" t="s">
        <v>416</v>
      </c>
      <c r="C353" s="337">
        <v>41495</v>
      </c>
      <c r="D353" s="338" t="s">
        <v>956</v>
      </c>
      <c r="E353" s="338" t="s">
        <v>5268</v>
      </c>
      <c r="F353" s="338" t="s">
        <v>8070</v>
      </c>
      <c r="G353" s="338">
        <v>30</v>
      </c>
      <c r="H353" s="338" t="s">
        <v>425</v>
      </c>
      <c r="I353" s="338" t="s">
        <v>411</v>
      </c>
      <c r="J353" s="339"/>
      <c r="K353" s="339"/>
      <c r="L353" s="339">
        <v>1.36852</v>
      </c>
      <c r="M353" s="339"/>
      <c r="N353" s="338"/>
      <c r="O353" s="338" t="s">
        <v>410</v>
      </c>
      <c r="P353" s="338" t="s">
        <v>410</v>
      </c>
    </row>
    <row r="354" spans="2:16" x14ac:dyDescent="0.25">
      <c r="B354" s="336" t="s">
        <v>416</v>
      </c>
      <c r="C354" s="337">
        <v>41494</v>
      </c>
      <c r="D354" s="338" t="s">
        <v>956</v>
      </c>
      <c r="E354" s="338" t="s">
        <v>6313</v>
      </c>
      <c r="F354" s="338" t="s">
        <v>1570</v>
      </c>
      <c r="G354" s="338" t="s">
        <v>413</v>
      </c>
      <c r="H354" s="338" t="s">
        <v>425</v>
      </c>
      <c r="I354" s="338" t="s">
        <v>1243</v>
      </c>
      <c r="J354" s="339"/>
      <c r="K354" s="339"/>
      <c r="L354" s="339"/>
      <c r="M354" s="339"/>
      <c r="N354" s="338"/>
      <c r="O354" s="338" t="s">
        <v>417</v>
      </c>
      <c r="P354" s="338" t="s">
        <v>410</v>
      </c>
    </row>
    <row r="355" spans="2:16" x14ac:dyDescent="0.25">
      <c r="B355" s="336" t="s">
        <v>416</v>
      </c>
      <c r="C355" s="337">
        <v>41494</v>
      </c>
      <c r="D355" s="338" t="s">
        <v>8069</v>
      </c>
      <c r="E355" s="338" t="s">
        <v>8068</v>
      </c>
      <c r="F355" s="338" t="s">
        <v>8067</v>
      </c>
      <c r="G355" s="338">
        <v>59.76</v>
      </c>
      <c r="H355" s="338" t="s">
        <v>425</v>
      </c>
      <c r="I355" s="338" t="s">
        <v>1243</v>
      </c>
      <c r="J355" s="339"/>
      <c r="K355" s="339"/>
      <c r="L355" s="339"/>
      <c r="M355" s="339"/>
      <c r="N355" s="338"/>
      <c r="O355" s="338"/>
      <c r="P355" s="338" t="s">
        <v>443</v>
      </c>
    </row>
    <row r="356" spans="2:16" x14ac:dyDescent="0.25">
      <c r="B356" s="336" t="s">
        <v>416</v>
      </c>
      <c r="C356" s="337">
        <v>41494</v>
      </c>
      <c r="D356" s="338" t="s">
        <v>8066</v>
      </c>
      <c r="E356" s="338" t="s">
        <v>495</v>
      </c>
      <c r="F356" s="338" t="s">
        <v>6088</v>
      </c>
      <c r="G356" s="338" t="s">
        <v>413</v>
      </c>
      <c r="H356" s="338" t="s">
        <v>412</v>
      </c>
      <c r="I356" s="338" t="s">
        <v>411</v>
      </c>
      <c r="J356" s="339"/>
      <c r="K356" s="339"/>
      <c r="L356" s="339">
        <v>2.5346099999999998</v>
      </c>
      <c r="M356" s="339">
        <v>11.8508</v>
      </c>
      <c r="N356" s="338" t="s">
        <v>417</v>
      </c>
      <c r="O356" s="338" t="s">
        <v>487</v>
      </c>
      <c r="P356" s="338" t="s">
        <v>417</v>
      </c>
    </row>
    <row r="357" spans="2:16" x14ac:dyDescent="0.25">
      <c r="B357" s="336" t="s">
        <v>416</v>
      </c>
      <c r="C357" s="337">
        <v>41494</v>
      </c>
      <c r="D357" s="338" t="s">
        <v>956</v>
      </c>
      <c r="E357" s="338" t="s">
        <v>8065</v>
      </c>
      <c r="F357" s="338" t="s">
        <v>8064</v>
      </c>
      <c r="G357" s="338" t="s">
        <v>413</v>
      </c>
      <c r="H357" s="338" t="s">
        <v>425</v>
      </c>
      <c r="I357" s="338" t="s">
        <v>411</v>
      </c>
      <c r="J357" s="339"/>
      <c r="K357" s="339"/>
      <c r="L357" s="339"/>
      <c r="M357" s="339"/>
      <c r="N357" s="338"/>
      <c r="O357" s="338" t="s">
        <v>605</v>
      </c>
      <c r="P357" s="338" t="s">
        <v>417</v>
      </c>
    </row>
    <row r="358" spans="2:16" x14ac:dyDescent="0.25">
      <c r="B358" s="336" t="s">
        <v>416</v>
      </c>
      <c r="C358" s="337">
        <v>41493</v>
      </c>
      <c r="D358" s="338" t="s">
        <v>8063</v>
      </c>
      <c r="E358" s="338" t="s">
        <v>8052</v>
      </c>
      <c r="F358" s="338" t="s">
        <v>8062</v>
      </c>
      <c r="G358" s="338">
        <v>21.1</v>
      </c>
      <c r="H358" s="338" t="s">
        <v>425</v>
      </c>
      <c r="I358" s="338" t="s">
        <v>1243</v>
      </c>
      <c r="J358" s="339"/>
      <c r="K358" s="339"/>
      <c r="L358" s="339"/>
      <c r="M358" s="339"/>
      <c r="N358" s="338"/>
      <c r="O358" s="338" t="s">
        <v>417</v>
      </c>
      <c r="P358" s="338" t="s">
        <v>408</v>
      </c>
    </row>
    <row r="359" spans="2:16" x14ac:dyDescent="0.25">
      <c r="B359" s="336" t="s">
        <v>416</v>
      </c>
      <c r="C359" s="337">
        <v>41492</v>
      </c>
      <c r="D359" s="338" t="s">
        <v>8061</v>
      </c>
      <c r="E359" s="338" t="s">
        <v>2444</v>
      </c>
      <c r="F359" s="338"/>
      <c r="G359" s="338" t="s">
        <v>413</v>
      </c>
      <c r="H359" s="338" t="s">
        <v>412</v>
      </c>
      <c r="I359" s="338" t="s">
        <v>411</v>
      </c>
      <c r="J359" s="339"/>
      <c r="K359" s="339"/>
      <c r="L359" s="339" t="s">
        <v>409</v>
      </c>
      <c r="M359" s="339" t="s">
        <v>409</v>
      </c>
      <c r="N359" s="338" t="s">
        <v>417</v>
      </c>
      <c r="O359" s="338" t="s">
        <v>409</v>
      </c>
      <c r="P359" s="338" t="s">
        <v>417</v>
      </c>
    </row>
    <row r="360" spans="2:16" x14ac:dyDescent="0.25">
      <c r="B360" s="336" t="s">
        <v>416</v>
      </c>
      <c r="C360" s="337">
        <v>41491</v>
      </c>
      <c r="D360" s="338" t="s">
        <v>956</v>
      </c>
      <c r="E360" s="338" t="s">
        <v>8060</v>
      </c>
      <c r="F360" s="338" t="s">
        <v>8059</v>
      </c>
      <c r="G360" s="338" t="s">
        <v>413</v>
      </c>
      <c r="H360" s="338" t="s">
        <v>425</v>
      </c>
      <c r="I360" s="338" t="s">
        <v>411</v>
      </c>
      <c r="J360" s="339"/>
      <c r="K360" s="339"/>
      <c r="L360" s="339"/>
      <c r="M360" s="339"/>
      <c r="N360" s="338"/>
      <c r="O360" s="338" t="s">
        <v>410</v>
      </c>
      <c r="P360" s="338" t="s">
        <v>410</v>
      </c>
    </row>
    <row r="361" spans="2:16" x14ac:dyDescent="0.25">
      <c r="B361" s="336" t="s">
        <v>416</v>
      </c>
      <c r="C361" s="337">
        <v>41491</v>
      </c>
      <c r="D361" s="338" t="s">
        <v>8058</v>
      </c>
      <c r="E361" s="338" t="s">
        <v>8057</v>
      </c>
      <c r="F361" s="338"/>
      <c r="G361" s="338" t="s">
        <v>413</v>
      </c>
      <c r="H361" s="338" t="s">
        <v>412</v>
      </c>
      <c r="I361" s="338" t="s">
        <v>411</v>
      </c>
      <c r="J361" s="339"/>
      <c r="K361" s="339"/>
      <c r="L361" s="339" t="s">
        <v>409</v>
      </c>
      <c r="M361" s="339" t="s">
        <v>409</v>
      </c>
      <c r="N361" s="338" t="s">
        <v>417</v>
      </c>
      <c r="O361" s="338" t="s">
        <v>409</v>
      </c>
      <c r="P361" s="338" t="s">
        <v>410</v>
      </c>
    </row>
    <row r="362" spans="2:16" x14ac:dyDescent="0.25">
      <c r="B362" s="336" t="s">
        <v>416</v>
      </c>
      <c r="C362" s="337">
        <v>41491</v>
      </c>
      <c r="D362" s="338" t="s">
        <v>5226</v>
      </c>
      <c r="E362" s="338" t="s">
        <v>8056</v>
      </c>
      <c r="F362" s="338" t="s">
        <v>5226</v>
      </c>
      <c r="G362" s="338" t="s">
        <v>413</v>
      </c>
      <c r="H362" s="338" t="s">
        <v>412</v>
      </c>
      <c r="I362" s="338" t="s">
        <v>1243</v>
      </c>
      <c r="J362" s="339"/>
      <c r="K362" s="339"/>
      <c r="L362" s="339"/>
      <c r="M362" s="339"/>
      <c r="N362" s="338" t="s">
        <v>417</v>
      </c>
      <c r="O362" s="338" t="s">
        <v>417</v>
      </c>
      <c r="P362" s="338" t="s">
        <v>443</v>
      </c>
    </row>
    <row r="363" spans="2:16" x14ac:dyDescent="0.25">
      <c r="B363" s="336" t="s">
        <v>416</v>
      </c>
      <c r="C363" s="337">
        <v>41491</v>
      </c>
      <c r="D363" s="338" t="s">
        <v>8055</v>
      </c>
      <c r="E363" s="338" t="s">
        <v>8054</v>
      </c>
      <c r="F363" s="338" t="s">
        <v>2645</v>
      </c>
      <c r="G363" s="338">
        <v>20</v>
      </c>
      <c r="H363" s="338" t="s">
        <v>425</v>
      </c>
      <c r="I363" s="338" t="s">
        <v>411</v>
      </c>
      <c r="J363" s="339"/>
      <c r="K363" s="339"/>
      <c r="L363" s="339">
        <v>2.7220399999999998</v>
      </c>
      <c r="M363" s="339">
        <v>14.173500000000001</v>
      </c>
      <c r="N363" s="338"/>
      <c r="O363" s="338" t="s">
        <v>410</v>
      </c>
      <c r="P363" s="338" t="s">
        <v>417</v>
      </c>
    </row>
    <row r="364" spans="2:16" x14ac:dyDescent="0.25">
      <c r="B364" s="336" t="s">
        <v>416</v>
      </c>
      <c r="C364" s="337">
        <v>41491</v>
      </c>
      <c r="D364" s="338" t="s">
        <v>8053</v>
      </c>
      <c r="E364" s="338" t="s">
        <v>8052</v>
      </c>
      <c r="F364" s="338" t="s">
        <v>8051</v>
      </c>
      <c r="G364" s="338" t="s">
        <v>413</v>
      </c>
      <c r="H364" s="338" t="s">
        <v>425</v>
      </c>
      <c r="I364" s="338" t="s">
        <v>411</v>
      </c>
      <c r="J364" s="339"/>
      <c r="K364" s="339"/>
      <c r="L364" s="339"/>
      <c r="M364" s="339"/>
      <c r="N364" s="338"/>
      <c r="O364" s="338"/>
      <c r="P364" s="338" t="s">
        <v>408</v>
      </c>
    </row>
    <row r="365" spans="2:16" x14ac:dyDescent="0.25">
      <c r="B365" s="336" t="s">
        <v>416</v>
      </c>
      <c r="C365" s="337">
        <v>41491</v>
      </c>
      <c r="D365" s="338" t="s">
        <v>8050</v>
      </c>
      <c r="E365" s="338" t="s">
        <v>8049</v>
      </c>
      <c r="F365" s="338" t="s">
        <v>8048</v>
      </c>
      <c r="G365" s="338">
        <v>3.15</v>
      </c>
      <c r="H365" s="338" t="s">
        <v>425</v>
      </c>
      <c r="I365" s="338" t="s">
        <v>411</v>
      </c>
      <c r="J365" s="339"/>
      <c r="K365" s="339"/>
      <c r="L365" s="339"/>
      <c r="M365" s="339"/>
      <c r="N365" s="338"/>
      <c r="O365" s="338"/>
      <c r="P365" s="338" t="s">
        <v>443</v>
      </c>
    </row>
    <row r="366" spans="2:16" x14ac:dyDescent="0.25">
      <c r="B366" s="336" t="s">
        <v>459</v>
      </c>
      <c r="C366" s="337">
        <v>41491</v>
      </c>
      <c r="D366" s="338" t="s">
        <v>8047</v>
      </c>
      <c r="E366" s="338" t="s">
        <v>8046</v>
      </c>
      <c r="F366" s="338"/>
      <c r="G366" s="338">
        <v>2</v>
      </c>
      <c r="H366" s="338" t="s">
        <v>425</v>
      </c>
      <c r="I366" s="338" t="s">
        <v>411</v>
      </c>
      <c r="J366" s="339"/>
      <c r="K366" s="339"/>
      <c r="L366" s="339" t="s">
        <v>409</v>
      </c>
      <c r="M366" s="339" t="s">
        <v>409</v>
      </c>
      <c r="N366" s="338" t="s">
        <v>432</v>
      </c>
      <c r="O366" s="338" t="s">
        <v>409</v>
      </c>
      <c r="P366" s="338"/>
    </row>
    <row r="367" spans="2:16" x14ac:dyDescent="0.25">
      <c r="B367" s="336" t="s">
        <v>416</v>
      </c>
      <c r="C367" s="337">
        <v>41488</v>
      </c>
      <c r="D367" s="338" t="s">
        <v>8045</v>
      </c>
      <c r="E367" s="338" t="s">
        <v>8044</v>
      </c>
      <c r="F367" s="338"/>
      <c r="G367" s="338" t="s">
        <v>413</v>
      </c>
      <c r="H367" s="338" t="s">
        <v>412</v>
      </c>
      <c r="I367" s="338" t="s">
        <v>411</v>
      </c>
      <c r="J367" s="339"/>
      <c r="K367" s="339"/>
      <c r="L367" s="339" t="s">
        <v>409</v>
      </c>
      <c r="M367" s="339" t="s">
        <v>409</v>
      </c>
      <c r="N367" s="338" t="s">
        <v>417</v>
      </c>
      <c r="O367" s="338" t="s">
        <v>409</v>
      </c>
      <c r="P367" s="338" t="s">
        <v>417</v>
      </c>
    </row>
    <row r="368" spans="2:16" x14ac:dyDescent="0.25">
      <c r="B368" s="336" t="s">
        <v>416</v>
      </c>
      <c r="C368" s="337">
        <v>41488</v>
      </c>
      <c r="D368" s="338" t="s">
        <v>8043</v>
      </c>
      <c r="E368" s="338" t="s">
        <v>7432</v>
      </c>
      <c r="F368" s="338"/>
      <c r="G368" s="338" t="s">
        <v>413</v>
      </c>
      <c r="H368" s="338" t="s">
        <v>412</v>
      </c>
      <c r="I368" s="338" t="s">
        <v>411</v>
      </c>
      <c r="J368" s="339"/>
      <c r="K368" s="339"/>
      <c r="L368" s="339" t="s">
        <v>409</v>
      </c>
      <c r="M368" s="339" t="s">
        <v>409</v>
      </c>
      <c r="N368" s="338" t="s">
        <v>417</v>
      </c>
      <c r="O368" s="338" t="s">
        <v>409</v>
      </c>
      <c r="P368" s="338" t="s">
        <v>417</v>
      </c>
    </row>
    <row r="369" spans="2:16" x14ac:dyDescent="0.25">
      <c r="B369" s="336" t="s">
        <v>416</v>
      </c>
      <c r="C369" s="337">
        <v>41488</v>
      </c>
      <c r="D369" s="338" t="s">
        <v>8042</v>
      </c>
      <c r="E369" s="338" t="s">
        <v>8041</v>
      </c>
      <c r="F369" s="338" t="s">
        <v>8040</v>
      </c>
      <c r="G369" s="338" t="s">
        <v>413</v>
      </c>
      <c r="H369" s="338" t="s">
        <v>425</v>
      </c>
      <c r="I369" s="338" t="s">
        <v>411</v>
      </c>
      <c r="J369" s="339"/>
      <c r="K369" s="339"/>
      <c r="L369" s="339"/>
      <c r="M369" s="339"/>
      <c r="N369" s="338"/>
      <c r="O369" s="338" t="s">
        <v>417</v>
      </c>
      <c r="P369" s="338" t="s">
        <v>885</v>
      </c>
    </row>
    <row r="370" spans="2:16" x14ac:dyDescent="0.25">
      <c r="B370" s="336" t="s">
        <v>416</v>
      </c>
      <c r="C370" s="337">
        <v>41488</v>
      </c>
      <c r="D370" s="338" t="s">
        <v>8039</v>
      </c>
      <c r="E370" s="338" t="s">
        <v>8038</v>
      </c>
      <c r="F370" s="338"/>
      <c r="G370" s="338" t="s">
        <v>413</v>
      </c>
      <c r="H370" s="338" t="s">
        <v>412</v>
      </c>
      <c r="I370" s="338" t="s">
        <v>411</v>
      </c>
      <c r="J370" s="339"/>
      <c r="K370" s="339"/>
      <c r="L370" s="339" t="s">
        <v>409</v>
      </c>
      <c r="M370" s="339" t="s">
        <v>409</v>
      </c>
      <c r="N370" s="338" t="s">
        <v>417</v>
      </c>
      <c r="O370" s="338" t="s">
        <v>409</v>
      </c>
      <c r="P370" s="338" t="s">
        <v>432</v>
      </c>
    </row>
    <row r="371" spans="2:16" x14ac:dyDescent="0.25">
      <c r="B371" s="336" t="s">
        <v>416</v>
      </c>
      <c r="C371" s="337">
        <v>41487</v>
      </c>
      <c r="D371" s="338" t="s">
        <v>8037</v>
      </c>
      <c r="E371" s="338" t="s">
        <v>8036</v>
      </c>
      <c r="F371" s="338"/>
      <c r="G371" s="338" t="s">
        <v>413</v>
      </c>
      <c r="H371" s="338" t="s">
        <v>412</v>
      </c>
      <c r="I371" s="338" t="s">
        <v>411</v>
      </c>
      <c r="J371" s="339"/>
      <c r="K371" s="339"/>
      <c r="L371" s="339" t="s">
        <v>409</v>
      </c>
      <c r="M371" s="339" t="s">
        <v>409</v>
      </c>
      <c r="N371" s="338" t="s">
        <v>417</v>
      </c>
      <c r="O371" s="338" t="s">
        <v>409</v>
      </c>
      <c r="P371" s="338" t="s">
        <v>417</v>
      </c>
    </row>
    <row r="372" spans="2:16" x14ac:dyDescent="0.25">
      <c r="B372" s="336" t="s">
        <v>459</v>
      </c>
      <c r="C372" s="337">
        <v>41487</v>
      </c>
      <c r="D372" s="338" t="s">
        <v>8035</v>
      </c>
      <c r="E372" s="338" t="s">
        <v>8034</v>
      </c>
      <c r="F372" s="338"/>
      <c r="G372" s="338">
        <v>4.2</v>
      </c>
      <c r="H372" s="338" t="s">
        <v>425</v>
      </c>
      <c r="I372" s="338" t="s">
        <v>411</v>
      </c>
      <c r="J372" s="339"/>
      <c r="K372" s="339"/>
      <c r="L372" s="339" t="s">
        <v>409</v>
      </c>
      <c r="M372" s="339" t="s">
        <v>409</v>
      </c>
      <c r="N372" s="338" t="s">
        <v>432</v>
      </c>
      <c r="O372" s="338" t="s">
        <v>409</v>
      </c>
      <c r="P372" s="338"/>
    </row>
    <row r="373" spans="2:16" x14ac:dyDescent="0.25">
      <c r="B373" s="336" t="s">
        <v>416</v>
      </c>
      <c r="C373" s="337">
        <v>41487</v>
      </c>
      <c r="D373" s="338" t="s">
        <v>8033</v>
      </c>
      <c r="E373" s="338" t="s">
        <v>8032</v>
      </c>
      <c r="F373" s="338" t="s">
        <v>4389</v>
      </c>
      <c r="G373" s="338" t="s">
        <v>413</v>
      </c>
      <c r="H373" s="338" t="s">
        <v>425</v>
      </c>
      <c r="I373" s="338" t="s">
        <v>411</v>
      </c>
      <c r="J373" s="339"/>
      <c r="K373" s="339"/>
      <c r="L373" s="339"/>
      <c r="M373" s="339"/>
      <c r="N373" s="338" t="s">
        <v>408</v>
      </c>
      <c r="O373" s="338" t="s">
        <v>443</v>
      </c>
      <c r="P373" s="338"/>
    </row>
    <row r="374" spans="2:16" x14ac:dyDescent="0.25">
      <c r="B374" s="336" t="s">
        <v>416</v>
      </c>
      <c r="C374" s="337">
        <v>41487</v>
      </c>
      <c r="D374" s="338" t="s">
        <v>8031</v>
      </c>
      <c r="E374" s="338" t="s">
        <v>8030</v>
      </c>
      <c r="F374" s="338" t="s">
        <v>8029</v>
      </c>
      <c r="G374" s="338" t="s">
        <v>413</v>
      </c>
      <c r="H374" s="338" t="s">
        <v>425</v>
      </c>
      <c r="I374" s="338" t="s">
        <v>411</v>
      </c>
      <c r="J374" s="339"/>
      <c r="K374" s="339"/>
      <c r="L374" s="339"/>
      <c r="M374" s="339"/>
      <c r="N374" s="338"/>
      <c r="O374" s="338" t="s">
        <v>410</v>
      </c>
      <c r="P374" s="338" t="s">
        <v>410</v>
      </c>
    </row>
    <row r="375" spans="2:16" x14ac:dyDescent="0.25">
      <c r="B375" s="336" t="s">
        <v>416</v>
      </c>
      <c r="C375" s="337">
        <v>41487</v>
      </c>
      <c r="D375" s="338" t="s">
        <v>8028</v>
      </c>
      <c r="E375" s="338" t="s">
        <v>8027</v>
      </c>
      <c r="F375" s="338"/>
      <c r="G375" s="338" t="s">
        <v>413</v>
      </c>
      <c r="H375" s="338" t="s">
        <v>425</v>
      </c>
      <c r="I375" s="338" t="s">
        <v>411</v>
      </c>
      <c r="J375" s="339"/>
      <c r="K375" s="339"/>
      <c r="L375" s="339" t="s">
        <v>409</v>
      </c>
      <c r="M375" s="339" t="s">
        <v>409</v>
      </c>
      <c r="N375" s="338" t="s">
        <v>487</v>
      </c>
      <c r="O375" s="338" t="s">
        <v>409</v>
      </c>
      <c r="P375" s="338" t="s">
        <v>417</v>
      </c>
    </row>
    <row r="376" spans="2:16" x14ac:dyDescent="0.25">
      <c r="B376" s="336" t="s">
        <v>416</v>
      </c>
      <c r="C376" s="337">
        <v>41486</v>
      </c>
      <c r="D376" s="338" t="s">
        <v>8026</v>
      </c>
      <c r="E376" s="338" t="s">
        <v>8025</v>
      </c>
      <c r="F376" s="338"/>
      <c r="G376" s="338" t="s">
        <v>413</v>
      </c>
      <c r="H376" s="338" t="s">
        <v>425</v>
      </c>
      <c r="I376" s="338" t="s">
        <v>411</v>
      </c>
      <c r="J376" s="339"/>
      <c r="K376" s="339"/>
      <c r="L376" s="339" t="s">
        <v>409</v>
      </c>
      <c r="M376" s="339" t="s">
        <v>409</v>
      </c>
      <c r="N376" s="338" t="s">
        <v>417</v>
      </c>
      <c r="O376" s="338" t="s">
        <v>409</v>
      </c>
      <c r="P376" s="338" t="s">
        <v>417</v>
      </c>
    </row>
    <row r="377" spans="2:16" x14ac:dyDescent="0.25">
      <c r="B377" s="336" t="s">
        <v>416</v>
      </c>
      <c r="C377" s="337">
        <v>41486</v>
      </c>
      <c r="D377" s="338" t="s">
        <v>8024</v>
      </c>
      <c r="E377" s="338" t="s">
        <v>8023</v>
      </c>
      <c r="F377" s="338"/>
      <c r="G377" s="338" t="s">
        <v>413</v>
      </c>
      <c r="H377" s="338" t="s">
        <v>425</v>
      </c>
      <c r="I377" s="338" t="s">
        <v>411</v>
      </c>
      <c r="J377" s="339"/>
      <c r="K377" s="339"/>
      <c r="L377" s="339" t="s">
        <v>409</v>
      </c>
      <c r="M377" s="339" t="s">
        <v>409</v>
      </c>
      <c r="N377" s="338"/>
      <c r="O377" s="338" t="s">
        <v>409</v>
      </c>
      <c r="P377" s="338" t="s">
        <v>417</v>
      </c>
    </row>
    <row r="378" spans="2:16" x14ac:dyDescent="0.25">
      <c r="B378" s="336" t="s">
        <v>459</v>
      </c>
      <c r="C378" s="337">
        <v>41485</v>
      </c>
      <c r="D378" s="338" t="s">
        <v>8022</v>
      </c>
      <c r="E378" s="338" t="s">
        <v>8021</v>
      </c>
      <c r="F378" s="338"/>
      <c r="G378" s="338">
        <v>0.41</v>
      </c>
      <c r="H378" s="338" t="s">
        <v>425</v>
      </c>
      <c r="I378" s="338" t="s">
        <v>411</v>
      </c>
      <c r="J378" s="339"/>
      <c r="K378" s="339"/>
      <c r="L378" s="339" t="s">
        <v>409</v>
      </c>
      <c r="M378" s="339" t="s">
        <v>409</v>
      </c>
      <c r="N378" s="338" t="s">
        <v>1785</v>
      </c>
      <c r="O378" s="338" t="s">
        <v>409</v>
      </c>
      <c r="P378" s="338" t="s">
        <v>410</v>
      </c>
    </row>
    <row r="379" spans="2:16" x14ac:dyDescent="0.25">
      <c r="B379" s="336" t="s">
        <v>416</v>
      </c>
      <c r="C379" s="337">
        <v>41485</v>
      </c>
      <c r="D379" s="338" t="s">
        <v>8020</v>
      </c>
      <c r="E379" s="338" t="s">
        <v>8019</v>
      </c>
      <c r="F379" s="338"/>
      <c r="G379" s="338">
        <v>22.62</v>
      </c>
      <c r="H379" s="338" t="s">
        <v>425</v>
      </c>
      <c r="I379" s="338" t="s">
        <v>411</v>
      </c>
      <c r="J379" s="339"/>
      <c r="K379" s="339"/>
      <c r="L379" s="339" t="s">
        <v>409</v>
      </c>
      <c r="M379" s="339" t="s">
        <v>409</v>
      </c>
      <c r="N379" s="338" t="s">
        <v>417</v>
      </c>
      <c r="O379" s="338" t="s">
        <v>409</v>
      </c>
      <c r="P379" s="338" t="s">
        <v>417</v>
      </c>
    </row>
    <row r="380" spans="2:16" x14ac:dyDescent="0.25">
      <c r="B380" s="336" t="s">
        <v>416</v>
      </c>
      <c r="C380" s="337">
        <v>41485</v>
      </c>
      <c r="D380" s="338" t="s">
        <v>3488</v>
      </c>
      <c r="E380" s="338" t="s">
        <v>8018</v>
      </c>
      <c r="F380" s="338"/>
      <c r="G380" s="338">
        <v>20</v>
      </c>
      <c r="H380" s="338" t="s">
        <v>425</v>
      </c>
      <c r="I380" s="338" t="s">
        <v>1243</v>
      </c>
      <c r="J380" s="339"/>
      <c r="K380" s="339"/>
      <c r="L380" s="339" t="s">
        <v>409</v>
      </c>
      <c r="M380" s="339" t="s">
        <v>409</v>
      </c>
      <c r="N380" s="338"/>
      <c r="O380" s="338" t="s">
        <v>409</v>
      </c>
      <c r="P380" s="338" t="s">
        <v>410</v>
      </c>
    </row>
    <row r="381" spans="2:16" x14ac:dyDescent="0.25">
      <c r="B381" s="336" t="s">
        <v>416</v>
      </c>
      <c r="C381" s="337">
        <v>41485</v>
      </c>
      <c r="D381" s="338" t="s">
        <v>3488</v>
      </c>
      <c r="E381" s="338" t="s">
        <v>1484</v>
      </c>
      <c r="F381" s="338" t="s">
        <v>2764</v>
      </c>
      <c r="G381" s="338">
        <v>21</v>
      </c>
      <c r="H381" s="338" t="s">
        <v>425</v>
      </c>
      <c r="I381" s="338" t="s">
        <v>411</v>
      </c>
      <c r="J381" s="339"/>
      <c r="K381" s="339"/>
      <c r="L381" s="339">
        <v>2.5831599999999999</v>
      </c>
      <c r="M381" s="339">
        <v>418.44600000000003</v>
      </c>
      <c r="N381" s="338"/>
      <c r="O381" s="338" t="s">
        <v>417</v>
      </c>
      <c r="P381" s="338" t="s">
        <v>443</v>
      </c>
    </row>
    <row r="382" spans="2:16" x14ac:dyDescent="0.25">
      <c r="B382" s="336" t="s">
        <v>459</v>
      </c>
      <c r="C382" s="337">
        <v>41485</v>
      </c>
      <c r="D382" s="338" t="s">
        <v>8017</v>
      </c>
      <c r="E382" s="338" t="s">
        <v>8016</v>
      </c>
      <c r="F382" s="338"/>
      <c r="G382" s="338">
        <v>2.5</v>
      </c>
      <c r="H382" s="338" t="s">
        <v>425</v>
      </c>
      <c r="I382" s="338" t="s">
        <v>411</v>
      </c>
      <c r="J382" s="339"/>
      <c r="K382" s="339"/>
      <c r="L382" s="339" t="s">
        <v>409</v>
      </c>
      <c r="M382" s="339" t="s">
        <v>409</v>
      </c>
      <c r="N382" s="338" t="s">
        <v>605</v>
      </c>
      <c r="O382" s="338" t="s">
        <v>409</v>
      </c>
      <c r="P382" s="338"/>
    </row>
    <row r="383" spans="2:16" x14ac:dyDescent="0.25">
      <c r="B383" s="336" t="s">
        <v>416</v>
      </c>
      <c r="C383" s="337">
        <v>41485</v>
      </c>
      <c r="D383" s="338" t="s">
        <v>8015</v>
      </c>
      <c r="E383" s="338" t="s">
        <v>8014</v>
      </c>
      <c r="F383" s="338" t="s">
        <v>8013</v>
      </c>
      <c r="G383" s="338" t="s">
        <v>413</v>
      </c>
      <c r="H383" s="338" t="s">
        <v>412</v>
      </c>
      <c r="I383" s="338" t="s">
        <v>411</v>
      </c>
      <c r="J383" s="339"/>
      <c r="K383" s="339"/>
      <c r="L383" s="339"/>
      <c r="M383" s="339"/>
      <c r="N383" s="338"/>
      <c r="O383" s="338" t="s">
        <v>417</v>
      </c>
      <c r="P383" s="338" t="s">
        <v>443</v>
      </c>
    </row>
    <row r="384" spans="2:16" x14ac:dyDescent="0.25">
      <c r="B384" s="336" t="s">
        <v>416</v>
      </c>
      <c r="C384" s="337">
        <v>41485</v>
      </c>
      <c r="D384" s="338" t="s">
        <v>8012</v>
      </c>
      <c r="E384" s="338" t="s">
        <v>939</v>
      </c>
      <c r="F384" s="338" t="s">
        <v>8011</v>
      </c>
      <c r="G384" s="338">
        <v>3</v>
      </c>
      <c r="H384" s="338" t="s">
        <v>425</v>
      </c>
      <c r="I384" s="338" t="s">
        <v>411</v>
      </c>
      <c r="J384" s="339"/>
      <c r="K384" s="339"/>
      <c r="L384" s="339">
        <v>2.9754200000000002</v>
      </c>
      <c r="M384" s="339">
        <v>9.2456099999999992</v>
      </c>
      <c r="N384" s="338" t="s">
        <v>417</v>
      </c>
      <c r="O384" s="338" t="s">
        <v>417</v>
      </c>
      <c r="P384" s="338"/>
    </row>
    <row r="385" spans="2:16" x14ac:dyDescent="0.25">
      <c r="B385" s="336" t="s">
        <v>459</v>
      </c>
      <c r="C385" s="337">
        <v>41484</v>
      </c>
      <c r="D385" s="338" t="s">
        <v>8010</v>
      </c>
      <c r="E385" s="338" t="s">
        <v>7161</v>
      </c>
      <c r="F385" s="338"/>
      <c r="G385" s="338" t="s">
        <v>413</v>
      </c>
      <c r="H385" s="338" t="s">
        <v>425</v>
      </c>
      <c r="I385" s="338" t="s">
        <v>411</v>
      </c>
      <c r="J385" s="339"/>
      <c r="K385" s="339"/>
      <c r="L385" s="339" t="s">
        <v>409</v>
      </c>
      <c r="M385" s="339" t="s">
        <v>409</v>
      </c>
      <c r="N385" s="338" t="s">
        <v>417</v>
      </c>
      <c r="O385" s="338" t="s">
        <v>409</v>
      </c>
      <c r="P385" s="338" t="s">
        <v>443</v>
      </c>
    </row>
    <row r="386" spans="2:16" x14ac:dyDescent="0.25">
      <c r="B386" s="336" t="s">
        <v>416</v>
      </c>
      <c r="C386" s="337">
        <v>41484</v>
      </c>
      <c r="D386" s="338" t="s">
        <v>8009</v>
      </c>
      <c r="E386" s="338" t="s">
        <v>6665</v>
      </c>
      <c r="F386" s="338" t="s">
        <v>1798</v>
      </c>
      <c r="G386" s="338">
        <v>1855</v>
      </c>
      <c r="H386" s="338" t="s">
        <v>425</v>
      </c>
      <c r="I386" s="338" t="s">
        <v>1243</v>
      </c>
      <c r="J386" s="339"/>
      <c r="K386" s="339"/>
      <c r="L386" s="339">
        <v>1.8680600000000001</v>
      </c>
      <c r="M386" s="339">
        <v>12.3513</v>
      </c>
      <c r="N386" s="338"/>
      <c r="O386" s="338" t="s">
        <v>482</v>
      </c>
      <c r="P386" s="338" t="s">
        <v>410</v>
      </c>
    </row>
    <row r="387" spans="2:16" x14ac:dyDescent="0.25">
      <c r="B387" s="336" t="s">
        <v>416</v>
      </c>
      <c r="C387" s="337">
        <v>41484</v>
      </c>
      <c r="D387" s="338" t="s">
        <v>1162</v>
      </c>
      <c r="E387" s="338" t="s">
        <v>8008</v>
      </c>
      <c r="F387" s="338"/>
      <c r="G387" s="338">
        <v>2702.1</v>
      </c>
      <c r="H387" s="338" t="s">
        <v>425</v>
      </c>
      <c r="I387" s="338" t="s">
        <v>411</v>
      </c>
      <c r="J387" s="339">
        <v>0.86355599999999999</v>
      </c>
      <c r="K387" s="339">
        <v>11.223699999999999</v>
      </c>
      <c r="L387" s="339" t="s">
        <v>409</v>
      </c>
      <c r="M387" s="339" t="s">
        <v>409</v>
      </c>
      <c r="N387" s="338" t="s">
        <v>417</v>
      </c>
      <c r="O387" s="338" t="s">
        <v>409</v>
      </c>
      <c r="P387" s="338" t="s">
        <v>417</v>
      </c>
    </row>
    <row r="388" spans="2:16" x14ac:dyDescent="0.25">
      <c r="B388" s="336" t="s">
        <v>416</v>
      </c>
      <c r="C388" s="337">
        <v>41481</v>
      </c>
      <c r="D388" s="338" t="s">
        <v>8007</v>
      </c>
      <c r="E388" s="338" t="s">
        <v>8006</v>
      </c>
      <c r="F388" s="338"/>
      <c r="G388" s="338" t="s">
        <v>413</v>
      </c>
      <c r="H388" s="338" t="s">
        <v>412</v>
      </c>
      <c r="I388" s="338" t="s">
        <v>411</v>
      </c>
      <c r="J388" s="339"/>
      <c r="K388" s="339"/>
      <c r="L388" s="339" t="s">
        <v>409</v>
      </c>
      <c r="M388" s="339" t="s">
        <v>409</v>
      </c>
      <c r="N388" s="338" t="s">
        <v>417</v>
      </c>
      <c r="O388" s="338" t="s">
        <v>409</v>
      </c>
      <c r="P388" s="338"/>
    </row>
    <row r="389" spans="2:16" x14ac:dyDescent="0.25">
      <c r="B389" s="336" t="s">
        <v>416</v>
      </c>
      <c r="C389" s="337">
        <v>41481</v>
      </c>
      <c r="D389" s="338" t="s">
        <v>8005</v>
      </c>
      <c r="E389" s="338" t="s">
        <v>1768</v>
      </c>
      <c r="F389" s="338" t="s">
        <v>8004</v>
      </c>
      <c r="G389" s="338" t="s">
        <v>413</v>
      </c>
      <c r="H389" s="338" t="s">
        <v>412</v>
      </c>
      <c r="I389" s="338" t="s">
        <v>411</v>
      </c>
      <c r="J389" s="339"/>
      <c r="K389" s="339"/>
      <c r="L389" s="339"/>
      <c r="M389" s="339"/>
      <c r="N389" s="338" t="s">
        <v>410</v>
      </c>
      <c r="O389" s="338" t="s">
        <v>410</v>
      </c>
      <c r="P389" s="338" t="s">
        <v>417</v>
      </c>
    </row>
    <row r="390" spans="2:16" x14ac:dyDescent="0.25">
      <c r="B390" s="336" t="s">
        <v>416</v>
      </c>
      <c r="C390" s="337">
        <v>41481</v>
      </c>
      <c r="D390" s="338" t="s">
        <v>8003</v>
      </c>
      <c r="E390" s="338" t="s">
        <v>8002</v>
      </c>
      <c r="F390" s="338"/>
      <c r="G390" s="338" t="s">
        <v>413</v>
      </c>
      <c r="H390" s="338" t="s">
        <v>425</v>
      </c>
      <c r="I390" s="338" t="s">
        <v>411</v>
      </c>
      <c r="J390" s="339"/>
      <c r="K390" s="339"/>
      <c r="L390" s="339" t="s">
        <v>409</v>
      </c>
      <c r="M390" s="339" t="s">
        <v>409</v>
      </c>
      <c r="N390" s="338" t="s">
        <v>417</v>
      </c>
      <c r="O390" s="338" t="s">
        <v>409</v>
      </c>
      <c r="P390" s="338" t="s">
        <v>443</v>
      </c>
    </row>
    <row r="391" spans="2:16" x14ac:dyDescent="0.25">
      <c r="B391" s="336" t="s">
        <v>416</v>
      </c>
      <c r="C391" s="337">
        <v>41480</v>
      </c>
      <c r="D391" s="338" t="s">
        <v>8001</v>
      </c>
      <c r="E391" s="338" t="s">
        <v>916</v>
      </c>
      <c r="F391" s="338"/>
      <c r="G391" s="338" t="s">
        <v>413</v>
      </c>
      <c r="H391" s="338" t="s">
        <v>425</v>
      </c>
      <c r="I391" s="338" t="s">
        <v>411</v>
      </c>
      <c r="J391" s="339"/>
      <c r="K391" s="339"/>
      <c r="L391" s="339" t="s">
        <v>409</v>
      </c>
      <c r="M391" s="339" t="s">
        <v>409</v>
      </c>
      <c r="N391" s="338"/>
      <c r="O391" s="338" t="s">
        <v>409</v>
      </c>
      <c r="P391" s="338" t="s">
        <v>417</v>
      </c>
    </row>
    <row r="392" spans="2:16" x14ac:dyDescent="0.25">
      <c r="B392" s="336" t="s">
        <v>416</v>
      </c>
      <c r="C392" s="337">
        <v>41479</v>
      </c>
      <c r="D392" s="338" t="s">
        <v>8000</v>
      </c>
      <c r="E392" s="338" t="s">
        <v>5440</v>
      </c>
      <c r="F392" s="338"/>
      <c r="G392" s="338" t="s">
        <v>413</v>
      </c>
      <c r="H392" s="338" t="s">
        <v>412</v>
      </c>
      <c r="I392" s="338" t="s">
        <v>411</v>
      </c>
      <c r="J392" s="339"/>
      <c r="K392" s="339"/>
      <c r="L392" s="339" t="s">
        <v>409</v>
      </c>
      <c r="M392" s="339" t="s">
        <v>409</v>
      </c>
      <c r="N392" s="338" t="s">
        <v>605</v>
      </c>
      <c r="O392" s="338" t="s">
        <v>409</v>
      </c>
      <c r="P392" s="338" t="s">
        <v>417</v>
      </c>
    </row>
    <row r="393" spans="2:16" x14ac:dyDescent="0.25">
      <c r="B393" s="336" t="s">
        <v>416</v>
      </c>
      <c r="C393" s="337">
        <v>41478</v>
      </c>
      <c r="D393" s="338" t="s">
        <v>7999</v>
      </c>
      <c r="E393" s="338" t="s">
        <v>7998</v>
      </c>
      <c r="F393" s="338"/>
      <c r="G393" s="338" t="s">
        <v>413</v>
      </c>
      <c r="H393" s="338" t="s">
        <v>425</v>
      </c>
      <c r="I393" s="338" t="s">
        <v>411</v>
      </c>
      <c r="J393" s="339"/>
      <c r="K393" s="339"/>
      <c r="L393" s="339" t="s">
        <v>409</v>
      </c>
      <c r="M393" s="339" t="s">
        <v>409</v>
      </c>
      <c r="N393" s="338" t="s">
        <v>417</v>
      </c>
      <c r="O393" s="338" t="s">
        <v>409</v>
      </c>
      <c r="P393" s="338" t="s">
        <v>410</v>
      </c>
    </row>
    <row r="394" spans="2:16" x14ac:dyDescent="0.25">
      <c r="B394" s="336" t="s">
        <v>416</v>
      </c>
      <c r="C394" s="337">
        <v>41477</v>
      </c>
      <c r="D394" s="338" t="s">
        <v>7997</v>
      </c>
      <c r="E394" s="338" t="s">
        <v>453</v>
      </c>
      <c r="F394" s="338" t="s">
        <v>7996</v>
      </c>
      <c r="G394" s="338" t="s">
        <v>413</v>
      </c>
      <c r="H394" s="338" t="s">
        <v>425</v>
      </c>
      <c r="I394" s="338" t="s">
        <v>1243</v>
      </c>
      <c r="J394" s="339"/>
      <c r="K394" s="339"/>
      <c r="L394" s="339"/>
      <c r="M394" s="339"/>
      <c r="N394" s="338" t="s">
        <v>417</v>
      </c>
      <c r="O394" s="338"/>
      <c r="P394" s="338" t="s">
        <v>443</v>
      </c>
    </row>
    <row r="395" spans="2:16" x14ac:dyDescent="0.25">
      <c r="B395" s="336" t="s">
        <v>416</v>
      </c>
      <c r="C395" s="337">
        <v>41477</v>
      </c>
      <c r="D395" s="338" t="s">
        <v>7995</v>
      </c>
      <c r="E395" s="338" t="s">
        <v>7994</v>
      </c>
      <c r="F395" s="338"/>
      <c r="G395" s="338" t="s">
        <v>413</v>
      </c>
      <c r="H395" s="338" t="s">
        <v>412</v>
      </c>
      <c r="I395" s="338" t="s">
        <v>1243</v>
      </c>
      <c r="J395" s="339"/>
      <c r="K395" s="339"/>
      <c r="L395" s="339" t="s">
        <v>409</v>
      </c>
      <c r="M395" s="339" t="s">
        <v>409</v>
      </c>
      <c r="N395" s="338" t="s">
        <v>417</v>
      </c>
      <c r="O395" s="338" t="s">
        <v>409</v>
      </c>
      <c r="P395" s="338" t="s">
        <v>417</v>
      </c>
    </row>
    <row r="396" spans="2:16" x14ac:dyDescent="0.25">
      <c r="B396" s="336" t="s">
        <v>416</v>
      </c>
      <c r="C396" s="337">
        <v>41474</v>
      </c>
      <c r="D396" s="338" t="s">
        <v>7993</v>
      </c>
      <c r="E396" s="338" t="s">
        <v>7992</v>
      </c>
      <c r="F396" s="338" t="s">
        <v>7864</v>
      </c>
      <c r="G396" s="338" t="s">
        <v>413</v>
      </c>
      <c r="H396" s="338" t="s">
        <v>412</v>
      </c>
      <c r="I396" s="338" t="s">
        <v>411</v>
      </c>
      <c r="J396" s="339"/>
      <c r="K396" s="339"/>
      <c r="L396" s="339"/>
      <c r="M396" s="339"/>
      <c r="N396" s="338" t="s">
        <v>417</v>
      </c>
      <c r="O396" s="338" t="s">
        <v>417</v>
      </c>
      <c r="P396" s="338" t="s">
        <v>417</v>
      </c>
    </row>
    <row r="397" spans="2:16" x14ac:dyDescent="0.25">
      <c r="B397" s="336" t="s">
        <v>416</v>
      </c>
      <c r="C397" s="337">
        <v>41473</v>
      </c>
      <c r="D397" s="338" t="s">
        <v>7991</v>
      </c>
      <c r="E397" s="338" t="s">
        <v>2807</v>
      </c>
      <c r="F397" s="338" t="s">
        <v>7990</v>
      </c>
      <c r="G397" s="338">
        <v>97.5</v>
      </c>
      <c r="H397" s="338" t="s">
        <v>425</v>
      </c>
      <c r="I397" s="338" t="s">
        <v>411</v>
      </c>
      <c r="J397" s="339"/>
      <c r="K397" s="339"/>
      <c r="L397" s="339"/>
      <c r="M397" s="339"/>
      <c r="N397" s="338" t="s">
        <v>417</v>
      </c>
      <c r="O397" s="338" t="s">
        <v>443</v>
      </c>
      <c r="P397" s="338" t="s">
        <v>417</v>
      </c>
    </row>
    <row r="398" spans="2:16" x14ac:dyDescent="0.25">
      <c r="B398" s="336" t="s">
        <v>459</v>
      </c>
      <c r="C398" s="337">
        <v>41473</v>
      </c>
      <c r="D398" s="338" t="s">
        <v>7698</v>
      </c>
      <c r="E398" s="338" t="s">
        <v>7989</v>
      </c>
      <c r="F398" s="338"/>
      <c r="G398" s="338">
        <v>5</v>
      </c>
      <c r="H398" s="338" t="s">
        <v>425</v>
      </c>
      <c r="I398" s="338" t="s">
        <v>411</v>
      </c>
      <c r="J398" s="339"/>
      <c r="K398" s="339"/>
      <c r="L398" s="339" t="s">
        <v>409</v>
      </c>
      <c r="M398" s="339" t="s">
        <v>409</v>
      </c>
      <c r="N398" s="338" t="s">
        <v>417</v>
      </c>
      <c r="O398" s="338" t="s">
        <v>409</v>
      </c>
      <c r="P398" s="338"/>
    </row>
    <row r="399" spans="2:16" x14ac:dyDescent="0.25">
      <c r="B399" s="336" t="s">
        <v>416</v>
      </c>
      <c r="C399" s="337">
        <v>41473</v>
      </c>
      <c r="D399" s="338" t="s">
        <v>7988</v>
      </c>
      <c r="E399" s="338" t="s">
        <v>1119</v>
      </c>
      <c r="F399" s="338" t="s">
        <v>6198</v>
      </c>
      <c r="G399" s="338" t="s">
        <v>413</v>
      </c>
      <c r="H399" s="338" t="s">
        <v>425</v>
      </c>
      <c r="I399" s="338" t="s">
        <v>411</v>
      </c>
      <c r="J399" s="339"/>
      <c r="K399" s="339"/>
      <c r="L399" s="339">
        <v>1.9769399999999999</v>
      </c>
      <c r="M399" s="339">
        <v>8.8183500000000006</v>
      </c>
      <c r="N399" s="338"/>
      <c r="O399" s="338" t="s">
        <v>417</v>
      </c>
      <c r="P399" s="338" t="s">
        <v>417</v>
      </c>
    </row>
    <row r="400" spans="2:16" x14ac:dyDescent="0.25">
      <c r="B400" s="336" t="s">
        <v>416</v>
      </c>
      <c r="C400" s="337">
        <v>41473</v>
      </c>
      <c r="D400" s="338" t="s">
        <v>7987</v>
      </c>
      <c r="E400" s="338" t="s">
        <v>7986</v>
      </c>
      <c r="F400" s="338"/>
      <c r="G400" s="338" t="s">
        <v>413</v>
      </c>
      <c r="H400" s="338" t="s">
        <v>412</v>
      </c>
      <c r="I400" s="338" t="s">
        <v>411</v>
      </c>
      <c r="J400" s="339"/>
      <c r="K400" s="339"/>
      <c r="L400" s="339" t="s">
        <v>409</v>
      </c>
      <c r="M400" s="339" t="s">
        <v>409</v>
      </c>
      <c r="N400" s="338" t="s">
        <v>417</v>
      </c>
      <c r="O400" s="338" t="s">
        <v>409</v>
      </c>
      <c r="P400" s="338" t="s">
        <v>417</v>
      </c>
    </row>
    <row r="401" spans="2:16" x14ac:dyDescent="0.25">
      <c r="B401" s="336" t="s">
        <v>416</v>
      </c>
      <c r="C401" s="337">
        <v>41472</v>
      </c>
      <c r="D401" s="338" t="s">
        <v>7985</v>
      </c>
      <c r="E401" s="338" t="s">
        <v>7819</v>
      </c>
      <c r="F401" s="338"/>
      <c r="G401" s="338" t="s">
        <v>413</v>
      </c>
      <c r="H401" s="338" t="s">
        <v>425</v>
      </c>
      <c r="I401" s="338" t="s">
        <v>1243</v>
      </c>
      <c r="J401" s="339"/>
      <c r="K401" s="339"/>
      <c r="L401" s="339" t="s">
        <v>409</v>
      </c>
      <c r="M401" s="339" t="s">
        <v>409</v>
      </c>
      <c r="N401" s="338"/>
      <c r="O401" s="338" t="s">
        <v>409</v>
      </c>
      <c r="P401" s="338" t="s">
        <v>417</v>
      </c>
    </row>
    <row r="402" spans="2:16" x14ac:dyDescent="0.25">
      <c r="B402" s="336" t="s">
        <v>416</v>
      </c>
      <c r="C402" s="337">
        <v>41472</v>
      </c>
      <c r="D402" s="338" t="s">
        <v>7984</v>
      </c>
      <c r="E402" s="338" t="s">
        <v>1284</v>
      </c>
      <c r="F402" s="338"/>
      <c r="G402" s="338">
        <v>40</v>
      </c>
      <c r="H402" s="338" t="s">
        <v>425</v>
      </c>
      <c r="I402" s="338" t="s">
        <v>411</v>
      </c>
      <c r="J402" s="339"/>
      <c r="K402" s="339"/>
      <c r="L402" s="339" t="s">
        <v>409</v>
      </c>
      <c r="M402" s="339" t="s">
        <v>409</v>
      </c>
      <c r="N402" s="338" t="s">
        <v>605</v>
      </c>
      <c r="O402" s="338" t="s">
        <v>409</v>
      </c>
      <c r="P402" s="338" t="s">
        <v>417</v>
      </c>
    </row>
    <row r="403" spans="2:16" x14ac:dyDescent="0.25">
      <c r="B403" s="336" t="s">
        <v>416</v>
      </c>
      <c r="C403" s="337">
        <v>41471</v>
      </c>
      <c r="D403" s="338" t="s">
        <v>580</v>
      </c>
      <c r="E403" s="338" t="s">
        <v>3868</v>
      </c>
      <c r="F403" s="338"/>
      <c r="G403" s="338">
        <v>1291.1400000000001</v>
      </c>
      <c r="H403" s="338" t="s">
        <v>425</v>
      </c>
      <c r="I403" s="338" t="s">
        <v>411</v>
      </c>
      <c r="J403" s="339">
        <v>4.4051900000000002</v>
      </c>
      <c r="K403" s="339">
        <v>15.9146</v>
      </c>
      <c r="L403" s="339" t="s">
        <v>409</v>
      </c>
      <c r="M403" s="339" t="s">
        <v>409</v>
      </c>
      <c r="N403" s="338" t="s">
        <v>417</v>
      </c>
      <c r="O403" s="338" t="s">
        <v>409</v>
      </c>
      <c r="P403" s="338" t="s">
        <v>417</v>
      </c>
    </row>
    <row r="404" spans="2:16" x14ac:dyDescent="0.25">
      <c r="B404" s="336" t="s">
        <v>459</v>
      </c>
      <c r="C404" s="337">
        <v>41470</v>
      </c>
      <c r="D404" s="338" t="s">
        <v>7983</v>
      </c>
      <c r="E404" s="338" t="s">
        <v>7982</v>
      </c>
      <c r="F404" s="338"/>
      <c r="G404" s="338" t="s">
        <v>413</v>
      </c>
      <c r="H404" s="338" t="s">
        <v>425</v>
      </c>
      <c r="I404" s="338" t="s">
        <v>411</v>
      </c>
      <c r="J404" s="339"/>
      <c r="K404" s="339"/>
      <c r="L404" s="339" t="s">
        <v>409</v>
      </c>
      <c r="M404" s="339" t="s">
        <v>409</v>
      </c>
      <c r="N404" s="338" t="s">
        <v>432</v>
      </c>
      <c r="O404" s="338" t="s">
        <v>409</v>
      </c>
      <c r="P404" s="338"/>
    </row>
    <row r="405" spans="2:16" x14ac:dyDescent="0.25">
      <c r="B405" s="336" t="s">
        <v>416</v>
      </c>
      <c r="C405" s="337">
        <v>41467</v>
      </c>
      <c r="D405" s="338" t="s">
        <v>7981</v>
      </c>
      <c r="E405" s="338" t="s">
        <v>7980</v>
      </c>
      <c r="F405" s="338" t="s">
        <v>1724</v>
      </c>
      <c r="G405" s="338" t="s">
        <v>413</v>
      </c>
      <c r="H405" s="338" t="s">
        <v>425</v>
      </c>
      <c r="I405" s="338" t="s">
        <v>411</v>
      </c>
      <c r="J405" s="339"/>
      <c r="K405" s="339"/>
      <c r="L405" s="339">
        <v>2.19781</v>
      </c>
      <c r="M405" s="339">
        <v>17.133299999999998</v>
      </c>
      <c r="N405" s="338"/>
      <c r="O405" s="338" t="s">
        <v>417</v>
      </c>
      <c r="P405" s="338" t="s">
        <v>443</v>
      </c>
    </row>
    <row r="406" spans="2:16" x14ac:dyDescent="0.25">
      <c r="B406" s="336" t="s">
        <v>459</v>
      </c>
      <c r="C406" s="337">
        <v>41466</v>
      </c>
      <c r="D406" s="338" t="s">
        <v>7979</v>
      </c>
      <c r="E406" s="338" t="s">
        <v>7009</v>
      </c>
      <c r="F406" s="338"/>
      <c r="G406" s="338" t="s">
        <v>413</v>
      </c>
      <c r="H406" s="338" t="s">
        <v>412</v>
      </c>
      <c r="I406" s="338" t="s">
        <v>411</v>
      </c>
      <c r="J406" s="339"/>
      <c r="K406" s="339"/>
      <c r="L406" s="339" t="s">
        <v>409</v>
      </c>
      <c r="M406" s="339" t="s">
        <v>409</v>
      </c>
      <c r="N406" s="338" t="s">
        <v>432</v>
      </c>
      <c r="O406" s="338" t="s">
        <v>409</v>
      </c>
      <c r="P406" s="338" t="s">
        <v>417</v>
      </c>
    </row>
    <row r="407" spans="2:16" x14ac:dyDescent="0.25">
      <c r="B407" s="336" t="s">
        <v>416</v>
      </c>
      <c r="C407" s="337">
        <v>41465</v>
      </c>
      <c r="D407" s="338" t="s">
        <v>7978</v>
      </c>
      <c r="E407" s="338" t="s">
        <v>7977</v>
      </c>
      <c r="F407" s="338" t="s">
        <v>7976</v>
      </c>
      <c r="G407" s="338" t="s">
        <v>413</v>
      </c>
      <c r="H407" s="338" t="s">
        <v>412</v>
      </c>
      <c r="I407" s="338" t="s">
        <v>411</v>
      </c>
      <c r="J407" s="339"/>
      <c r="K407" s="339"/>
      <c r="L407" s="339"/>
      <c r="M407" s="339"/>
      <c r="N407" s="338" t="s">
        <v>417</v>
      </c>
      <c r="O407" s="338" t="s">
        <v>410</v>
      </c>
      <c r="P407" s="338" t="s">
        <v>443</v>
      </c>
    </row>
    <row r="408" spans="2:16" x14ac:dyDescent="0.25">
      <c r="B408" s="336" t="s">
        <v>459</v>
      </c>
      <c r="C408" s="337">
        <v>41465</v>
      </c>
      <c r="D408" s="338" t="s">
        <v>7975</v>
      </c>
      <c r="E408" s="338" t="s">
        <v>7974</v>
      </c>
      <c r="F408" s="338"/>
      <c r="G408" s="338">
        <v>6.3</v>
      </c>
      <c r="H408" s="338" t="s">
        <v>425</v>
      </c>
      <c r="I408" s="338" t="s">
        <v>411</v>
      </c>
      <c r="J408" s="339"/>
      <c r="K408" s="339"/>
      <c r="L408" s="339" t="s">
        <v>409</v>
      </c>
      <c r="M408" s="339" t="s">
        <v>409</v>
      </c>
      <c r="N408" s="338" t="s">
        <v>432</v>
      </c>
      <c r="O408" s="338" t="s">
        <v>409</v>
      </c>
      <c r="P408" s="338"/>
    </row>
    <row r="409" spans="2:16" x14ac:dyDescent="0.25">
      <c r="B409" s="336" t="s">
        <v>416</v>
      </c>
      <c r="C409" s="337">
        <v>41463</v>
      </c>
      <c r="D409" s="338" t="s">
        <v>7973</v>
      </c>
      <c r="E409" s="338" t="s">
        <v>6028</v>
      </c>
      <c r="F409" s="338"/>
      <c r="G409" s="338">
        <v>0.5</v>
      </c>
      <c r="H409" s="338" t="s">
        <v>429</v>
      </c>
      <c r="I409" s="338" t="s">
        <v>411</v>
      </c>
      <c r="J409" s="339"/>
      <c r="K409" s="339"/>
      <c r="L409" s="339" t="s">
        <v>409</v>
      </c>
      <c r="M409" s="339" t="s">
        <v>409</v>
      </c>
      <c r="N409" s="338" t="s">
        <v>417</v>
      </c>
      <c r="O409" s="338" t="s">
        <v>409</v>
      </c>
      <c r="P409" s="338" t="s">
        <v>417</v>
      </c>
    </row>
    <row r="410" spans="2:16" x14ac:dyDescent="0.25">
      <c r="B410" s="336" t="s">
        <v>416</v>
      </c>
      <c r="C410" s="337">
        <v>41463</v>
      </c>
      <c r="D410" s="338" t="s">
        <v>974</v>
      </c>
      <c r="E410" s="338" t="s">
        <v>7972</v>
      </c>
      <c r="F410" s="338" t="s">
        <v>1060</v>
      </c>
      <c r="G410" s="338" t="s">
        <v>413</v>
      </c>
      <c r="H410" s="338" t="s">
        <v>425</v>
      </c>
      <c r="I410" s="338" t="s">
        <v>411</v>
      </c>
      <c r="J410" s="339">
        <v>0.51883900000000005</v>
      </c>
      <c r="K410" s="339">
        <v>5.4384699999999997</v>
      </c>
      <c r="L410" s="339"/>
      <c r="M410" s="339"/>
      <c r="N410" s="338" t="s">
        <v>410</v>
      </c>
      <c r="O410" s="338" t="s">
        <v>443</v>
      </c>
      <c r="P410" s="338" t="s">
        <v>443</v>
      </c>
    </row>
    <row r="411" spans="2:16" x14ac:dyDescent="0.25">
      <c r="B411" s="336" t="s">
        <v>416</v>
      </c>
      <c r="C411" s="337">
        <v>41463</v>
      </c>
      <c r="D411" s="338" t="s">
        <v>7971</v>
      </c>
      <c r="E411" s="338" t="s">
        <v>4750</v>
      </c>
      <c r="F411" s="338"/>
      <c r="G411" s="338" t="s">
        <v>413</v>
      </c>
      <c r="H411" s="338" t="s">
        <v>429</v>
      </c>
      <c r="I411" s="338" t="s">
        <v>411</v>
      </c>
      <c r="J411" s="339"/>
      <c r="K411" s="339"/>
      <c r="L411" s="339" t="s">
        <v>409</v>
      </c>
      <c r="M411" s="339" t="s">
        <v>409</v>
      </c>
      <c r="N411" s="338" t="s">
        <v>410</v>
      </c>
      <c r="O411" s="338" t="s">
        <v>409</v>
      </c>
      <c r="P411" s="338" t="s">
        <v>410</v>
      </c>
    </row>
    <row r="412" spans="2:16" x14ac:dyDescent="0.25">
      <c r="B412" s="336" t="s">
        <v>459</v>
      </c>
      <c r="C412" s="337">
        <v>41459</v>
      </c>
      <c r="D412" s="338" t="s">
        <v>7970</v>
      </c>
      <c r="E412" s="338" t="s">
        <v>804</v>
      </c>
      <c r="F412" s="338"/>
      <c r="G412" s="338" t="s">
        <v>413</v>
      </c>
      <c r="H412" s="338" t="s">
        <v>425</v>
      </c>
      <c r="I412" s="338" t="s">
        <v>411</v>
      </c>
      <c r="J412" s="339"/>
      <c r="K412" s="339"/>
      <c r="L412" s="339" t="s">
        <v>409</v>
      </c>
      <c r="M412" s="339" t="s">
        <v>409</v>
      </c>
      <c r="N412" s="338" t="s">
        <v>417</v>
      </c>
      <c r="O412" s="338" t="s">
        <v>409</v>
      </c>
      <c r="P412" s="338" t="s">
        <v>443</v>
      </c>
    </row>
    <row r="413" spans="2:16" x14ac:dyDescent="0.25">
      <c r="B413" s="336" t="s">
        <v>416</v>
      </c>
      <c r="C413" s="337">
        <v>41457</v>
      </c>
      <c r="D413" s="338" t="s">
        <v>7969</v>
      </c>
      <c r="E413" s="338" t="s">
        <v>6054</v>
      </c>
      <c r="F413" s="338"/>
      <c r="G413" s="338" t="s">
        <v>413</v>
      </c>
      <c r="H413" s="338" t="s">
        <v>412</v>
      </c>
      <c r="I413" s="338" t="s">
        <v>411</v>
      </c>
      <c r="J413" s="339"/>
      <c r="K413" s="339"/>
      <c r="L413" s="339" t="s">
        <v>409</v>
      </c>
      <c r="M413" s="339" t="s">
        <v>409</v>
      </c>
      <c r="N413" s="338" t="s">
        <v>410</v>
      </c>
      <c r="O413" s="338" t="s">
        <v>409</v>
      </c>
      <c r="P413" s="338" t="s">
        <v>417</v>
      </c>
    </row>
    <row r="414" spans="2:16" x14ac:dyDescent="0.25">
      <c r="B414" s="336" t="s">
        <v>416</v>
      </c>
      <c r="C414" s="337">
        <v>41457</v>
      </c>
      <c r="D414" s="338" t="s">
        <v>7968</v>
      </c>
      <c r="E414" s="338" t="s">
        <v>7967</v>
      </c>
      <c r="F414" s="338"/>
      <c r="G414" s="338" t="s">
        <v>413</v>
      </c>
      <c r="H414" s="338" t="s">
        <v>425</v>
      </c>
      <c r="I414" s="338" t="s">
        <v>411</v>
      </c>
      <c r="J414" s="339"/>
      <c r="K414" s="339"/>
      <c r="L414" s="339" t="s">
        <v>409</v>
      </c>
      <c r="M414" s="339" t="s">
        <v>409</v>
      </c>
      <c r="N414" s="338" t="s">
        <v>417</v>
      </c>
      <c r="O414" s="338" t="s">
        <v>409</v>
      </c>
      <c r="P414" s="338" t="s">
        <v>487</v>
      </c>
    </row>
    <row r="415" spans="2:16" x14ac:dyDescent="0.25">
      <c r="B415" s="336" t="s">
        <v>416</v>
      </c>
      <c r="C415" s="337">
        <v>41457</v>
      </c>
      <c r="D415" s="338" t="s">
        <v>7966</v>
      </c>
      <c r="E415" s="338" t="s">
        <v>7965</v>
      </c>
      <c r="F415" s="338"/>
      <c r="G415" s="338" t="s">
        <v>413</v>
      </c>
      <c r="H415" s="338" t="s">
        <v>412</v>
      </c>
      <c r="I415" s="338" t="s">
        <v>411</v>
      </c>
      <c r="J415" s="339"/>
      <c r="K415" s="339"/>
      <c r="L415" s="339" t="s">
        <v>409</v>
      </c>
      <c r="M415" s="339" t="s">
        <v>409</v>
      </c>
      <c r="N415" s="338" t="s">
        <v>410</v>
      </c>
      <c r="O415" s="338" t="s">
        <v>409</v>
      </c>
      <c r="P415" s="338" t="s">
        <v>417</v>
      </c>
    </row>
    <row r="416" spans="2:16" x14ac:dyDescent="0.25">
      <c r="B416" s="336" t="s">
        <v>416</v>
      </c>
      <c r="C416" s="337">
        <v>41456</v>
      </c>
      <c r="D416" s="338" t="s">
        <v>7964</v>
      </c>
      <c r="E416" s="338" t="s">
        <v>7963</v>
      </c>
      <c r="F416" s="338" t="s">
        <v>7962</v>
      </c>
      <c r="G416" s="338">
        <v>3</v>
      </c>
      <c r="H416" s="338" t="s">
        <v>425</v>
      </c>
      <c r="I416" s="338" t="s">
        <v>411</v>
      </c>
      <c r="J416" s="339"/>
      <c r="K416" s="339"/>
      <c r="L416" s="339"/>
      <c r="M416" s="339"/>
      <c r="N416" s="338"/>
      <c r="O416" s="338" t="s">
        <v>417</v>
      </c>
      <c r="P416" s="338" t="s">
        <v>417</v>
      </c>
    </row>
    <row r="417" spans="2:16" x14ac:dyDescent="0.25">
      <c r="B417" s="336" t="s">
        <v>416</v>
      </c>
      <c r="C417" s="337">
        <v>41456</v>
      </c>
      <c r="D417" s="338" t="s">
        <v>7961</v>
      </c>
      <c r="E417" s="338" t="s">
        <v>7960</v>
      </c>
      <c r="F417" s="338"/>
      <c r="G417" s="338">
        <v>3.06</v>
      </c>
      <c r="H417" s="338" t="s">
        <v>425</v>
      </c>
      <c r="I417" s="338" t="s">
        <v>1243</v>
      </c>
      <c r="J417" s="339"/>
      <c r="K417" s="339"/>
      <c r="L417" s="339" t="s">
        <v>409</v>
      </c>
      <c r="M417" s="339" t="s">
        <v>409</v>
      </c>
      <c r="N417" s="338" t="s">
        <v>417</v>
      </c>
      <c r="O417" s="338" t="s">
        <v>409</v>
      </c>
      <c r="P417" s="338" t="s">
        <v>417</v>
      </c>
    </row>
    <row r="418" spans="2:16" x14ac:dyDescent="0.25">
      <c r="B418" s="336" t="s">
        <v>459</v>
      </c>
      <c r="C418" s="337">
        <v>41456</v>
      </c>
      <c r="D418" s="338" t="s">
        <v>7959</v>
      </c>
      <c r="E418" s="338" t="s">
        <v>7958</v>
      </c>
      <c r="F418" s="338"/>
      <c r="G418" s="338">
        <v>15</v>
      </c>
      <c r="H418" s="338" t="s">
        <v>425</v>
      </c>
      <c r="I418" s="338" t="s">
        <v>411</v>
      </c>
      <c r="J418" s="339"/>
      <c r="K418" s="339"/>
      <c r="L418" s="339" t="s">
        <v>409</v>
      </c>
      <c r="M418" s="339" t="s">
        <v>409</v>
      </c>
      <c r="N418" s="338" t="s">
        <v>443</v>
      </c>
      <c r="O418" s="338" t="s">
        <v>409</v>
      </c>
      <c r="P418" s="338" t="s">
        <v>417</v>
      </c>
    </row>
    <row r="419" spans="2:16" x14ac:dyDescent="0.25">
      <c r="B419" s="336" t="s">
        <v>416</v>
      </c>
      <c r="C419" s="337">
        <v>41455</v>
      </c>
      <c r="D419" s="338" t="s">
        <v>7957</v>
      </c>
      <c r="E419" s="338" t="s">
        <v>7956</v>
      </c>
      <c r="F419" s="338" t="s">
        <v>7955</v>
      </c>
      <c r="G419" s="338">
        <v>290</v>
      </c>
      <c r="H419" s="338" t="s">
        <v>425</v>
      </c>
      <c r="I419" s="338" t="s">
        <v>411</v>
      </c>
      <c r="J419" s="339"/>
      <c r="K419" s="339"/>
      <c r="L419" s="339"/>
      <c r="M419" s="339"/>
      <c r="N419" s="338" t="s">
        <v>417</v>
      </c>
      <c r="O419" s="338" t="s">
        <v>543</v>
      </c>
      <c r="P419" s="338" t="s">
        <v>408</v>
      </c>
    </row>
    <row r="420" spans="2:16" x14ac:dyDescent="0.25">
      <c r="B420" s="336" t="s">
        <v>416</v>
      </c>
      <c r="C420" s="337">
        <v>41455</v>
      </c>
      <c r="D420" s="338" t="s">
        <v>5705</v>
      </c>
      <c r="E420" s="338" t="s">
        <v>7954</v>
      </c>
      <c r="F420" s="338" t="s">
        <v>5704</v>
      </c>
      <c r="G420" s="338">
        <v>85</v>
      </c>
      <c r="H420" s="338" t="s">
        <v>425</v>
      </c>
      <c r="I420" s="338" t="s">
        <v>411</v>
      </c>
      <c r="J420" s="339"/>
      <c r="K420" s="339"/>
      <c r="L420" s="339">
        <v>0.91177299999999994</v>
      </c>
      <c r="M420" s="339">
        <v>13.1531</v>
      </c>
      <c r="N420" s="338" t="s">
        <v>417</v>
      </c>
      <c r="O420" s="338" t="s">
        <v>410</v>
      </c>
      <c r="P420" s="338" t="s">
        <v>410</v>
      </c>
    </row>
    <row r="421" spans="2:16" x14ac:dyDescent="0.25">
      <c r="B421" s="336" t="s">
        <v>416</v>
      </c>
      <c r="C421" s="337">
        <v>41453</v>
      </c>
      <c r="D421" s="338" t="s">
        <v>7953</v>
      </c>
      <c r="E421" s="338" t="s">
        <v>7952</v>
      </c>
      <c r="F421" s="338"/>
      <c r="G421" s="338" t="s">
        <v>413</v>
      </c>
      <c r="H421" s="338" t="s">
        <v>412</v>
      </c>
      <c r="I421" s="338" t="s">
        <v>411</v>
      </c>
      <c r="J421" s="339"/>
      <c r="K421" s="339"/>
      <c r="L421" s="339" t="s">
        <v>409</v>
      </c>
      <c r="M421" s="339" t="s">
        <v>409</v>
      </c>
      <c r="N421" s="338" t="s">
        <v>410</v>
      </c>
      <c r="O421" s="338" t="s">
        <v>409</v>
      </c>
      <c r="P421" s="338" t="s">
        <v>410</v>
      </c>
    </row>
    <row r="422" spans="2:16" x14ac:dyDescent="0.25">
      <c r="B422" s="336" t="s">
        <v>416</v>
      </c>
      <c r="C422" s="337">
        <v>41453</v>
      </c>
      <c r="D422" s="338" t="s">
        <v>7951</v>
      </c>
      <c r="E422" s="338" t="s">
        <v>7950</v>
      </c>
      <c r="F422" s="338"/>
      <c r="G422" s="338" t="s">
        <v>413</v>
      </c>
      <c r="H422" s="338" t="s">
        <v>412</v>
      </c>
      <c r="I422" s="338" t="s">
        <v>411</v>
      </c>
      <c r="J422" s="339"/>
      <c r="K422" s="339"/>
      <c r="L422" s="339" t="s">
        <v>409</v>
      </c>
      <c r="M422" s="339" t="s">
        <v>409</v>
      </c>
      <c r="N422" s="338" t="s">
        <v>417</v>
      </c>
      <c r="O422" s="338" t="s">
        <v>409</v>
      </c>
      <c r="P422" s="338" t="s">
        <v>443</v>
      </c>
    </row>
    <row r="423" spans="2:16" x14ac:dyDescent="0.25">
      <c r="B423" s="336" t="s">
        <v>542</v>
      </c>
      <c r="C423" s="337">
        <v>41452</v>
      </c>
      <c r="D423" s="338" t="s">
        <v>2007</v>
      </c>
      <c r="E423" s="338" t="s">
        <v>539</v>
      </c>
      <c r="F423" s="338"/>
      <c r="G423" s="338">
        <v>25</v>
      </c>
      <c r="H423" s="338"/>
      <c r="I423" s="338" t="s">
        <v>411</v>
      </c>
      <c r="J423" s="339">
        <v>0.13309299999999999</v>
      </c>
      <c r="K423" s="339">
        <v>3.91791</v>
      </c>
      <c r="L423" s="339" t="s">
        <v>409</v>
      </c>
      <c r="M423" s="339" t="s">
        <v>409</v>
      </c>
      <c r="N423" s="338" t="s">
        <v>417</v>
      </c>
      <c r="O423" s="338" t="s">
        <v>409</v>
      </c>
      <c r="P423" s="338" t="s">
        <v>417</v>
      </c>
    </row>
    <row r="424" spans="2:16" x14ac:dyDescent="0.25">
      <c r="B424" s="336" t="s">
        <v>416</v>
      </c>
      <c r="C424" s="337">
        <v>41452</v>
      </c>
      <c r="D424" s="338" t="s">
        <v>7949</v>
      </c>
      <c r="E424" s="338" t="s">
        <v>7948</v>
      </c>
      <c r="F424" s="338"/>
      <c r="G424" s="338" t="s">
        <v>413</v>
      </c>
      <c r="H424" s="338" t="s">
        <v>412</v>
      </c>
      <c r="I424" s="338" t="s">
        <v>411</v>
      </c>
      <c r="J424" s="339"/>
      <c r="K424" s="339"/>
      <c r="L424" s="339" t="s">
        <v>409</v>
      </c>
      <c r="M424" s="339" t="s">
        <v>409</v>
      </c>
      <c r="N424" s="338" t="s">
        <v>417</v>
      </c>
      <c r="O424" s="338" t="s">
        <v>409</v>
      </c>
      <c r="P424" s="338" t="s">
        <v>417</v>
      </c>
    </row>
    <row r="425" spans="2:16" x14ac:dyDescent="0.25">
      <c r="B425" s="336" t="s">
        <v>416</v>
      </c>
      <c r="C425" s="337">
        <v>41451</v>
      </c>
      <c r="D425" s="338" t="s">
        <v>7947</v>
      </c>
      <c r="E425" s="338" t="s">
        <v>7946</v>
      </c>
      <c r="F425" s="338"/>
      <c r="G425" s="338" t="s">
        <v>413</v>
      </c>
      <c r="H425" s="338" t="s">
        <v>412</v>
      </c>
      <c r="I425" s="338" t="s">
        <v>411</v>
      </c>
      <c r="J425" s="339"/>
      <c r="K425" s="339"/>
      <c r="L425" s="339" t="s">
        <v>409</v>
      </c>
      <c r="M425" s="339" t="s">
        <v>409</v>
      </c>
      <c r="N425" s="338" t="s">
        <v>417</v>
      </c>
      <c r="O425" s="338" t="s">
        <v>409</v>
      </c>
      <c r="P425" s="338" t="s">
        <v>432</v>
      </c>
    </row>
    <row r="426" spans="2:16" x14ac:dyDescent="0.25">
      <c r="B426" s="336" t="s">
        <v>459</v>
      </c>
      <c r="C426" s="337">
        <v>41450</v>
      </c>
      <c r="D426" s="338" t="s">
        <v>7945</v>
      </c>
      <c r="E426" s="338" t="s">
        <v>1496</v>
      </c>
      <c r="F426" s="338"/>
      <c r="G426" s="338" t="s">
        <v>413</v>
      </c>
      <c r="H426" s="338" t="s">
        <v>412</v>
      </c>
      <c r="I426" s="338" t="s">
        <v>411</v>
      </c>
      <c r="J426" s="339"/>
      <c r="K426" s="339"/>
      <c r="L426" s="339" t="s">
        <v>409</v>
      </c>
      <c r="M426" s="339" t="s">
        <v>409</v>
      </c>
      <c r="N426" s="338" t="s">
        <v>432</v>
      </c>
      <c r="O426" s="338" t="s">
        <v>409</v>
      </c>
      <c r="P426" s="338" t="s">
        <v>417</v>
      </c>
    </row>
    <row r="427" spans="2:16" x14ac:dyDescent="0.25">
      <c r="B427" s="336" t="s">
        <v>416</v>
      </c>
      <c r="C427" s="337">
        <v>41450</v>
      </c>
      <c r="D427" s="338" t="s">
        <v>7944</v>
      </c>
      <c r="E427" s="338" t="s">
        <v>2557</v>
      </c>
      <c r="F427" s="338"/>
      <c r="G427" s="338">
        <v>70</v>
      </c>
      <c r="H427" s="338" t="s">
        <v>425</v>
      </c>
      <c r="I427" s="338" t="s">
        <v>411</v>
      </c>
      <c r="J427" s="339"/>
      <c r="K427" s="339"/>
      <c r="L427" s="339" t="s">
        <v>409</v>
      </c>
      <c r="M427" s="339" t="s">
        <v>409</v>
      </c>
      <c r="N427" s="338"/>
      <c r="O427" s="338" t="s">
        <v>409</v>
      </c>
      <c r="P427" s="338" t="s">
        <v>417</v>
      </c>
    </row>
    <row r="428" spans="2:16" x14ac:dyDescent="0.25">
      <c r="B428" s="336" t="s">
        <v>416</v>
      </c>
      <c r="C428" s="337">
        <v>41450</v>
      </c>
      <c r="D428" s="338" t="s">
        <v>7943</v>
      </c>
      <c r="E428" s="338" t="s">
        <v>5450</v>
      </c>
      <c r="F428" s="338"/>
      <c r="G428" s="338" t="s">
        <v>413</v>
      </c>
      <c r="H428" s="338" t="s">
        <v>412</v>
      </c>
      <c r="I428" s="338" t="s">
        <v>411</v>
      </c>
      <c r="J428" s="339"/>
      <c r="K428" s="339"/>
      <c r="L428" s="339" t="s">
        <v>409</v>
      </c>
      <c r="M428" s="339" t="s">
        <v>409</v>
      </c>
      <c r="N428" s="338" t="s">
        <v>432</v>
      </c>
      <c r="O428" s="338" t="s">
        <v>409</v>
      </c>
      <c r="P428" s="338" t="s">
        <v>417</v>
      </c>
    </row>
    <row r="429" spans="2:16" x14ac:dyDescent="0.25">
      <c r="B429" s="336" t="s">
        <v>416</v>
      </c>
      <c r="C429" s="337">
        <v>41449</v>
      </c>
      <c r="D429" s="338" t="s">
        <v>7942</v>
      </c>
      <c r="E429" s="338" t="s">
        <v>450</v>
      </c>
      <c r="F429" s="338"/>
      <c r="G429" s="338">
        <v>102.5</v>
      </c>
      <c r="H429" s="338" t="s">
        <v>425</v>
      </c>
      <c r="I429" s="338" t="s">
        <v>411</v>
      </c>
      <c r="J429" s="339"/>
      <c r="K429" s="339"/>
      <c r="L429" s="339" t="s">
        <v>409</v>
      </c>
      <c r="M429" s="339" t="s">
        <v>409</v>
      </c>
      <c r="N429" s="338"/>
      <c r="O429" s="338" t="s">
        <v>409</v>
      </c>
      <c r="P429" s="338" t="s">
        <v>417</v>
      </c>
    </row>
    <row r="430" spans="2:16" x14ac:dyDescent="0.25">
      <c r="B430" s="336" t="s">
        <v>416</v>
      </c>
      <c r="C430" s="337">
        <v>41445</v>
      </c>
      <c r="D430" s="338" t="s">
        <v>7941</v>
      </c>
      <c r="E430" s="338" t="s">
        <v>2053</v>
      </c>
      <c r="F430" s="338" t="s">
        <v>7940</v>
      </c>
      <c r="G430" s="338">
        <v>11</v>
      </c>
      <c r="H430" s="338" t="s">
        <v>425</v>
      </c>
      <c r="I430" s="338" t="s">
        <v>411</v>
      </c>
      <c r="J430" s="339"/>
      <c r="K430" s="339"/>
      <c r="L430" s="339"/>
      <c r="M430" s="339"/>
      <c r="N430" s="338"/>
      <c r="O430" s="338" t="s">
        <v>417</v>
      </c>
      <c r="P430" s="338" t="s">
        <v>417</v>
      </c>
    </row>
    <row r="431" spans="2:16" x14ac:dyDescent="0.25">
      <c r="B431" s="336" t="s">
        <v>416</v>
      </c>
      <c r="C431" s="337">
        <v>41444</v>
      </c>
      <c r="D431" s="338" t="s">
        <v>7939</v>
      </c>
      <c r="E431" s="338" t="s">
        <v>7938</v>
      </c>
      <c r="F431" s="338" t="s">
        <v>4612</v>
      </c>
      <c r="G431" s="338">
        <v>3.7</v>
      </c>
      <c r="H431" s="338" t="s">
        <v>425</v>
      </c>
      <c r="I431" s="338" t="s">
        <v>411</v>
      </c>
      <c r="J431" s="339"/>
      <c r="K431" s="339"/>
      <c r="L431" s="339">
        <v>0.458291</v>
      </c>
      <c r="M431" s="339"/>
      <c r="N431" s="338"/>
      <c r="O431" s="338" t="s">
        <v>417</v>
      </c>
      <c r="P431" s="338" t="s">
        <v>443</v>
      </c>
    </row>
    <row r="432" spans="2:16" x14ac:dyDescent="0.25">
      <c r="B432" s="336" t="s">
        <v>459</v>
      </c>
      <c r="C432" s="337">
        <v>41444</v>
      </c>
      <c r="D432" s="338" t="s">
        <v>7937</v>
      </c>
      <c r="E432" s="338" t="s">
        <v>7936</v>
      </c>
      <c r="F432" s="338"/>
      <c r="G432" s="338">
        <v>0.75</v>
      </c>
      <c r="H432" s="338" t="s">
        <v>425</v>
      </c>
      <c r="I432" s="338" t="s">
        <v>411</v>
      </c>
      <c r="J432" s="339"/>
      <c r="K432" s="339"/>
      <c r="L432" s="339" t="s">
        <v>409</v>
      </c>
      <c r="M432" s="339" t="s">
        <v>409</v>
      </c>
      <c r="N432" s="338" t="s">
        <v>417</v>
      </c>
      <c r="O432" s="338" t="s">
        <v>409</v>
      </c>
      <c r="P432" s="338"/>
    </row>
    <row r="433" spans="2:16" x14ac:dyDescent="0.25">
      <c r="B433" s="336" t="s">
        <v>416</v>
      </c>
      <c r="C433" s="337">
        <v>41444</v>
      </c>
      <c r="D433" s="338" t="s">
        <v>7935</v>
      </c>
      <c r="E433" s="338" t="s">
        <v>7934</v>
      </c>
      <c r="F433" s="338"/>
      <c r="G433" s="338">
        <v>30</v>
      </c>
      <c r="H433" s="338" t="s">
        <v>425</v>
      </c>
      <c r="I433" s="338" t="s">
        <v>411</v>
      </c>
      <c r="J433" s="339"/>
      <c r="K433" s="339"/>
      <c r="L433" s="339" t="s">
        <v>409</v>
      </c>
      <c r="M433" s="339" t="s">
        <v>409</v>
      </c>
      <c r="N433" s="338" t="s">
        <v>432</v>
      </c>
      <c r="O433" s="338" t="s">
        <v>409</v>
      </c>
      <c r="P433" s="338" t="s">
        <v>432</v>
      </c>
    </row>
    <row r="434" spans="2:16" x14ac:dyDescent="0.25">
      <c r="B434" s="336" t="s">
        <v>416</v>
      </c>
      <c r="C434" s="337">
        <v>41443</v>
      </c>
      <c r="D434" s="338" t="s">
        <v>7933</v>
      </c>
      <c r="E434" s="338" t="s">
        <v>7798</v>
      </c>
      <c r="F434" s="338" t="s">
        <v>7932</v>
      </c>
      <c r="G434" s="338">
        <v>20</v>
      </c>
      <c r="H434" s="338" t="s">
        <v>425</v>
      </c>
      <c r="I434" s="338" t="s">
        <v>1243</v>
      </c>
      <c r="J434" s="339"/>
      <c r="K434" s="339"/>
      <c r="L434" s="339"/>
      <c r="M434" s="339"/>
      <c r="N434" s="338"/>
      <c r="O434" s="338" t="s">
        <v>417</v>
      </c>
      <c r="P434" s="338" t="s">
        <v>443</v>
      </c>
    </row>
    <row r="435" spans="2:16" x14ac:dyDescent="0.25">
      <c r="B435" s="336" t="s">
        <v>459</v>
      </c>
      <c r="C435" s="337">
        <v>41443</v>
      </c>
      <c r="D435" s="338" t="s">
        <v>2470</v>
      </c>
      <c r="E435" s="338" t="s">
        <v>7931</v>
      </c>
      <c r="F435" s="338"/>
      <c r="G435" s="338" t="s">
        <v>413</v>
      </c>
      <c r="H435" s="338" t="s">
        <v>425</v>
      </c>
      <c r="I435" s="338" t="s">
        <v>411</v>
      </c>
      <c r="J435" s="339">
        <v>2.9995699999999998</v>
      </c>
      <c r="K435" s="339">
        <v>12.199199999999999</v>
      </c>
      <c r="L435" s="339" t="s">
        <v>409</v>
      </c>
      <c r="M435" s="339" t="s">
        <v>409</v>
      </c>
      <c r="N435" s="338" t="s">
        <v>417</v>
      </c>
      <c r="O435" s="338" t="s">
        <v>409</v>
      </c>
      <c r="P435" s="338" t="s">
        <v>443</v>
      </c>
    </row>
    <row r="436" spans="2:16" x14ac:dyDescent="0.25">
      <c r="B436" s="336" t="s">
        <v>416</v>
      </c>
      <c r="C436" s="337">
        <v>41443</v>
      </c>
      <c r="D436" s="338" t="s">
        <v>3061</v>
      </c>
      <c r="E436" s="338" t="s">
        <v>468</v>
      </c>
      <c r="F436" s="338" t="s">
        <v>7930</v>
      </c>
      <c r="G436" s="338" t="s">
        <v>413</v>
      </c>
      <c r="H436" s="338" t="s">
        <v>425</v>
      </c>
      <c r="I436" s="338" t="s">
        <v>411</v>
      </c>
      <c r="J436" s="339"/>
      <c r="K436" s="339"/>
      <c r="L436" s="339"/>
      <c r="M436" s="339"/>
      <c r="N436" s="338" t="s">
        <v>417</v>
      </c>
      <c r="O436" s="338" t="s">
        <v>443</v>
      </c>
      <c r="P436" s="338" t="s">
        <v>443</v>
      </c>
    </row>
    <row r="437" spans="2:16" x14ac:dyDescent="0.25">
      <c r="B437" s="336" t="s">
        <v>459</v>
      </c>
      <c r="C437" s="337">
        <v>41442</v>
      </c>
      <c r="D437" s="338" t="s">
        <v>5393</v>
      </c>
      <c r="E437" s="338" t="s">
        <v>7929</v>
      </c>
      <c r="F437" s="338"/>
      <c r="G437" s="338">
        <v>3</v>
      </c>
      <c r="H437" s="338" t="s">
        <v>425</v>
      </c>
      <c r="I437" s="338" t="s">
        <v>411</v>
      </c>
      <c r="J437" s="339"/>
      <c r="K437" s="339"/>
      <c r="L437" s="339" t="s">
        <v>409</v>
      </c>
      <c r="M437" s="339" t="s">
        <v>409</v>
      </c>
      <c r="N437" s="338" t="s">
        <v>417</v>
      </c>
      <c r="O437" s="338" t="s">
        <v>409</v>
      </c>
      <c r="P437" s="338"/>
    </row>
    <row r="438" spans="2:16" x14ac:dyDescent="0.25">
      <c r="B438" s="336" t="s">
        <v>416</v>
      </c>
      <c r="C438" s="337">
        <v>41442</v>
      </c>
      <c r="D438" s="338" t="s">
        <v>7928</v>
      </c>
      <c r="E438" s="338" t="s">
        <v>4408</v>
      </c>
      <c r="F438" s="338" t="s">
        <v>6336</v>
      </c>
      <c r="G438" s="338">
        <v>205</v>
      </c>
      <c r="H438" s="338" t="s">
        <v>425</v>
      </c>
      <c r="I438" s="338" t="s">
        <v>411</v>
      </c>
      <c r="J438" s="339"/>
      <c r="K438" s="339"/>
      <c r="L438" s="339">
        <v>0.47774899999999998</v>
      </c>
      <c r="M438" s="339"/>
      <c r="N438" s="338"/>
      <c r="O438" s="338" t="s">
        <v>417</v>
      </c>
      <c r="P438" s="338" t="s">
        <v>417</v>
      </c>
    </row>
    <row r="439" spans="2:16" x14ac:dyDescent="0.25">
      <c r="B439" s="336" t="s">
        <v>416</v>
      </c>
      <c r="C439" s="337">
        <v>41439</v>
      </c>
      <c r="D439" s="338" t="s">
        <v>7927</v>
      </c>
      <c r="E439" s="338" t="s">
        <v>7926</v>
      </c>
      <c r="F439" s="338"/>
      <c r="G439" s="338">
        <v>37.21</v>
      </c>
      <c r="H439" s="338" t="s">
        <v>336</v>
      </c>
      <c r="I439" s="338" t="s">
        <v>411</v>
      </c>
      <c r="J439" s="339"/>
      <c r="K439" s="339"/>
      <c r="L439" s="339" t="s">
        <v>409</v>
      </c>
      <c r="M439" s="339" t="s">
        <v>409</v>
      </c>
      <c r="N439" s="338" t="s">
        <v>417</v>
      </c>
      <c r="O439" s="338" t="s">
        <v>409</v>
      </c>
      <c r="P439" s="338" t="s">
        <v>482</v>
      </c>
    </row>
    <row r="440" spans="2:16" x14ac:dyDescent="0.25">
      <c r="B440" s="336" t="s">
        <v>416</v>
      </c>
      <c r="C440" s="337">
        <v>41438</v>
      </c>
      <c r="D440" s="338" t="s">
        <v>7925</v>
      </c>
      <c r="E440" s="338" t="s">
        <v>7924</v>
      </c>
      <c r="F440" s="338" t="s">
        <v>1249</v>
      </c>
      <c r="G440" s="338">
        <v>9.3000000000000007</v>
      </c>
      <c r="H440" s="338" t="s">
        <v>425</v>
      </c>
      <c r="I440" s="338" t="s">
        <v>411</v>
      </c>
      <c r="J440" s="339"/>
      <c r="K440" s="339"/>
      <c r="L440" s="339">
        <v>1.74013</v>
      </c>
      <c r="M440" s="339">
        <v>11.651400000000001</v>
      </c>
      <c r="N440" s="338"/>
      <c r="O440" s="338" t="s">
        <v>417</v>
      </c>
      <c r="P440" s="338" t="s">
        <v>417</v>
      </c>
    </row>
    <row r="441" spans="2:16" x14ac:dyDescent="0.25">
      <c r="B441" s="336" t="s">
        <v>416</v>
      </c>
      <c r="C441" s="337">
        <v>41437</v>
      </c>
      <c r="D441" s="338" t="s">
        <v>7923</v>
      </c>
      <c r="E441" s="338" t="s">
        <v>2796</v>
      </c>
      <c r="F441" s="338"/>
      <c r="G441" s="338" t="s">
        <v>413</v>
      </c>
      <c r="H441" s="338" t="s">
        <v>412</v>
      </c>
      <c r="I441" s="338" t="s">
        <v>411</v>
      </c>
      <c r="J441" s="339"/>
      <c r="K441" s="339"/>
      <c r="L441" s="339" t="s">
        <v>409</v>
      </c>
      <c r="M441" s="339" t="s">
        <v>409</v>
      </c>
      <c r="N441" s="338" t="s">
        <v>417</v>
      </c>
      <c r="O441" s="338" t="s">
        <v>409</v>
      </c>
      <c r="P441" s="338" t="s">
        <v>417</v>
      </c>
    </row>
    <row r="442" spans="2:16" x14ac:dyDescent="0.25">
      <c r="B442" s="336" t="s">
        <v>416</v>
      </c>
      <c r="C442" s="337">
        <v>41437</v>
      </c>
      <c r="D442" s="338" t="s">
        <v>7922</v>
      </c>
      <c r="E442" s="338" t="s">
        <v>7335</v>
      </c>
      <c r="F442" s="338"/>
      <c r="G442" s="338">
        <v>25</v>
      </c>
      <c r="H442" s="338" t="s">
        <v>425</v>
      </c>
      <c r="I442" s="338" t="s">
        <v>411</v>
      </c>
      <c r="J442" s="339"/>
      <c r="K442" s="339"/>
      <c r="L442" s="339" t="s">
        <v>409</v>
      </c>
      <c r="M442" s="339" t="s">
        <v>409</v>
      </c>
      <c r="N442" s="338" t="s">
        <v>417</v>
      </c>
      <c r="O442" s="338" t="s">
        <v>409</v>
      </c>
      <c r="P442" s="338" t="s">
        <v>417</v>
      </c>
    </row>
    <row r="443" spans="2:16" x14ac:dyDescent="0.25">
      <c r="B443" s="336" t="s">
        <v>459</v>
      </c>
      <c r="C443" s="337">
        <v>41437</v>
      </c>
      <c r="D443" s="338" t="s">
        <v>3899</v>
      </c>
      <c r="E443" s="338" t="s">
        <v>7921</v>
      </c>
      <c r="F443" s="338"/>
      <c r="G443" s="338">
        <v>10</v>
      </c>
      <c r="H443" s="338" t="s">
        <v>425</v>
      </c>
      <c r="I443" s="338" t="s">
        <v>411</v>
      </c>
      <c r="J443" s="339"/>
      <c r="K443" s="339"/>
      <c r="L443" s="339" t="s">
        <v>409</v>
      </c>
      <c r="M443" s="339" t="s">
        <v>409</v>
      </c>
      <c r="N443" s="338" t="s">
        <v>410</v>
      </c>
      <c r="O443" s="338" t="s">
        <v>409</v>
      </c>
      <c r="P443" s="338"/>
    </row>
    <row r="444" spans="2:16" x14ac:dyDescent="0.25">
      <c r="B444" s="336" t="s">
        <v>416</v>
      </c>
      <c r="C444" s="337">
        <v>41436</v>
      </c>
      <c r="D444" s="338" t="s">
        <v>7920</v>
      </c>
      <c r="E444" s="338" t="s">
        <v>7919</v>
      </c>
      <c r="F444" s="338"/>
      <c r="G444" s="338" t="s">
        <v>413</v>
      </c>
      <c r="H444" s="338" t="s">
        <v>336</v>
      </c>
      <c r="I444" s="338" t="s">
        <v>411</v>
      </c>
      <c r="J444" s="339"/>
      <c r="K444" s="339"/>
      <c r="L444" s="339" t="s">
        <v>409</v>
      </c>
      <c r="M444" s="339" t="s">
        <v>409</v>
      </c>
      <c r="N444" s="338" t="s">
        <v>417</v>
      </c>
      <c r="O444" s="338" t="s">
        <v>409</v>
      </c>
      <c r="P444" s="338" t="s">
        <v>417</v>
      </c>
    </row>
    <row r="445" spans="2:16" x14ac:dyDescent="0.25">
      <c r="B445" s="336" t="s">
        <v>416</v>
      </c>
      <c r="C445" s="337">
        <v>41435</v>
      </c>
      <c r="D445" s="338" t="s">
        <v>7918</v>
      </c>
      <c r="E445" s="338" t="s">
        <v>5440</v>
      </c>
      <c r="F445" s="338"/>
      <c r="G445" s="338" t="s">
        <v>413</v>
      </c>
      <c r="H445" s="338" t="s">
        <v>412</v>
      </c>
      <c r="I445" s="338" t="s">
        <v>411</v>
      </c>
      <c r="J445" s="339"/>
      <c r="K445" s="339"/>
      <c r="L445" s="339" t="s">
        <v>409</v>
      </c>
      <c r="M445" s="339" t="s">
        <v>409</v>
      </c>
      <c r="N445" s="338" t="s">
        <v>605</v>
      </c>
      <c r="O445" s="338" t="s">
        <v>409</v>
      </c>
      <c r="P445" s="338" t="s">
        <v>417</v>
      </c>
    </row>
    <row r="446" spans="2:16" x14ac:dyDescent="0.25">
      <c r="B446" s="336" t="s">
        <v>416</v>
      </c>
      <c r="C446" s="337">
        <v>41435</v>
      </c>
      <c r="D446" s="338" t="s">
        <v>7917</v>
      </c>
      <c r="E446" s="338" t="s">
        <v>598</v>
      </c>
      <c r="F446" s="338"/>
      <c r="G446" s="338" t="s">
        <v>413</v>
      </c>
      <c r="H446" s="338" t="s">
        <v>425</v>
      </c>
      <c r="I446" s="338" t="s">
        <v>411</v>
      </c>
      <c r="J446" s="339"/>
      <c r="K446" s="339"/>
      <c r="L446" s="339" t="s">
        <v>409</v>
      </c>
      <c r="M446" s="339" t="s">
        <v>409</v>
      </c>
      <c r="N446" s="338"/>
      <c r="O446" s="338" t="s">
        <v>409</v>
      </c>
      <c r="P446" s="338" t="s">
        <v>417</v>
      </c>
    </row>
    <row r="447" spans="2:16" x14ac:dyDescent="0.25">
      <c r="B447" s="336" t="s">
        <v>416</v>
      </c>
      <c r="C447" s="337">
        <v>41434</v>
      </c>
      <c r="D447" s="338" t="s">
        <v>7916</v>
      </c>
      <c r="E447" s="338" t="s">
        <v>7915</v>
      </c>
      <c r="F447" s="338" t="s">
        <v>7914</v>
      </c>
      <c r="G447" s="338" t="s">
        <v>413</v>
      </c>
      <c r="H447" s="338" t="s">
        <v>425</v>
      </c>
      <c r="I447" s="338" t="s">
        <v>1243</v>
      </c>
      <c r="J447" s="339"/>
      <c r="K447" s="339"/>
      <c r="L447" s="339"/>
      <c r="M447" s="339"/>
      <c r="N447" s="338"/>
      <c r="O447" s="338" t="s">
        <v>417</v>
      </c>
      <c r="P447" s="338" t="s">
        <v>417</v>
      </c>
    </row>
    <row r="448" spans="2:16" x14ac:dyDescent="0.25">
      <c r="B448" s="336" t="s">
        <v>416</v>
      </c>
      <c r="C448" s="337">
        <v>41432</v>
      </c>
      <c r="D448" s="338" t="s">
        <v>7913</v>
      </c>
      <c r="E448" s="338" t="s">
        <v>7912</v>
      </c>
      <c r="F448" s="338" t="s">
        <v>7911</v>
      </c>
      <c r="G448" s="338" t="s">
        <v>413</v>
      </c>
      <c r="H448" s="338" t="s">
        <v>425</v>
      </c>
      <c r="I448" s="338" t="s">
        <v>411</v>
      </c>
      <c r="J448" s="339"/>
      <c r="K448" s="339"/>
      <c r="L448" s="339"/>
      <c r="M448" s="339"/>
      <c r="N448" s="338"/>
      <c r="O448" s="338" t="s">
        <v>417</v>
      </c>
      <c r="P448" s="338" t="s">
        <v>417</v>
      </c>
    </row>
    <row r="449" spans="2:16" x14ac:dyDescent="0.25">
      <c r="B449" s="336" t="s">
        <v>459</v>
      </c>
      <c r="C449" s="337">
        <v>41432</v>
      </c>
      <c r="D449" s="338" t="s">
        <v>6382</v>
      </c>
      <c r="E449" s="338" t="s">
        <v>7910</v>
      </c>
      <c r="F449" s="338"/>
      <c r="G449" s="338" t="s">
        <v>413</v>
      </c>
      <c r="H449" s="338" t="s">
        <v>425</v>
      </c>
      <c r="I449" s="338" t="s">
        <v>411</v>
      </c>
      <c r="J449" s="339"/>
      <c r="K449" s="339"/>
      <c r="L449" s="339" t="s">
        <v>409</v>
      </c>
      <c r="M449" s="339" t="s">
        <v>409</v>
      </c>
      <c r="N449" s="338" t="s">
        <v>417</v>
      </c>
      <c r="O449" s="338" t="s">
        <v>409</v>
      </c>
      <c r="P449" s="338"/>
    </row>
    <row r="450" spans="2:16" x14ac:dyDescent="0.25">
      <c r="B450" s="336" t="s">
        <v>416</v>
      </c>
      <c r="C450" s="337">
        <v>41432</v>
      </c>
      <c r="D450" s="338" t="s">
        <v>7909</v>
      </c>
      <c r="E450" s="338" t="s">
        <v>7908</v>
      </c>
      <c r="F450" s="338"/>
      <c r="G450" s="338" t="s">
        <v>413</v>
      </c>
      <c r="H450" s="338" t="s">
        <v>425</v>
      </c>
      <c r="I450" s="338" t="s">
        <v>411</v>
      </c>
      <c r="J450" s="339"/>
      <c r="K450" s="339"/>
      <c r="L450" s="339" t="s">
        <v>409</v>
      </c>
      <c r="M450" s="339" t="s">
        <v>409</v>
      </c>
      <c r="N450" s="338" t="s">
        <v>417</v>
      </c>
      <c r="O450" s="338" t="s">
        <v>409</v>
      </c>
      <c r="P450" s="338" t="s">
        <v>417</v>
      </c>
    </row>
    <row r="451" spans="2:16" x14ac:dyDescent="0.25">
      <c r="B451" s="336" t="s">
        <v>459</v>
      </c>
      <c r="C451" s="337">
        <v>41431</v>
      </c>
      <c r="D451" s="338" t="s">
        <v>7907</v>
      </c>
      <c r="E451" s="338" t="s">
        <v>7906</v>
      </c>
      <c r="F451" s="338"/>
      <c r="G451" s="338">
        <v>14.5</v>
      </c>
      <c r="H451" s="338" t="s">
        <v>425</v>
      </c>
      <c r="I451" s="338" t="s">
        <v>411</v>
      </c>
      <c r="J451" s="339"/>
      <c r="K451" s="339"/>
      <c r="L451" s="339" t="s">
        <v>409</v>
      </c>
      <c r="M451" s="339" t="s">
        <v>409</v>
      </c>
      <c r="N451" s="338" t="s">
        <v>410</v>
      </c>
      <c r="O451" s="338" t="s">
        <v>409</v>
      </c>
      <c r="P451" s="338"/>
    </row>
    <row r="452" spans="2:16" x14ac:dyDescent="0.25">
      <c r="B452" s="336" t="s">
        <v>416</v>
      </c>
      <c r="C452" s="337">
        <v>41431</v>
      </c>
      <c r="D452" s="338" t="s">
        <v>7905</v>
      </c>
      <c r="E452" s="338" t="s">
        <v>7904</v>
      </c>
      <c r="F452" s="338"/>
      <c r="G452" s="338" t="s">
        <v>413</v>
      </c>
      <c r="H452" s="338" t="s">
        <v>412</v>
      </c>
      <c r="I452" s="338" t="s">
        <v>411</v>
      </c>
      <c r="J452" s="339"/>
      <c r="K452" s="339"/>
      <c r="L452" s="339" t="s">
        <v>409</v>
      </c>
      <c r="M452" s="339" t="s">
        <v>409</v>
      </c>
      <c r="N452" s="338" t="s">
        <v>605</v>
      </c>
      <c r="O452" s="338" t="s">
        <v>409</v>
      </c>
      <c r="P452" s="338" t="s">
        <v>410</v>
      </c>
    </row>
    <row r="453" spans="2:16" x14ac:dyDescent="0.25">
      <c r="B453" s="336" t="s">
        <v>459</v>
      </c>
      <c r="C453" s="337">
        <v>41431</v>
      </c>
      <c r="D453" s="338" t="s">
        <v>7903</v>
      </c>
      <c r="E453" s="338" t="s">
        <v>7902</v>
      </c>
      <c r="F453" s="338"/>
      <c r="G453" s="338">
        <v>6</v>
      </c>
      <c r="H453" s="338" t="s">
        <v>425</v>
      </c>
      <c r="I453" s="338" t="s">
        <v>411</v>
      </c>
      <c r="J453" s="339"/>
      <c r="K453" s="339"/>
      <c r="L453" s="339" t="s">
        <v>409</v>
      </c>
      <c r="M453" s="339" t="s">
        <v>409</v>
      </c>
      <c r="N453" s="338" t="s">
        <v>417</v>
      </c>
      <c r="O453" s="338" t="s">
        <v>409</v>
      </c>
      <c r="P453" s="338"/>
    </row>
    <row r="454" spans="2:16" x14ac:dyDescent="0.25">
      <c r="B454" s="336" t="s">
        <v>459</v>
      </c>
      <c r="C454" s="337">
        <v>41430</v>
      </c>
      <c r="D454" s="338" t="s">
        <v>7901</v>
      </c>
      <c r="E454" s="338" t="s">
        <v>7900</v>
      </c>
      <c r="F454" s="338"/>
      <c r="G454" s="338">
        <v>0.65</v>
      </c>
      <c r="H454" s="338" t="s">
        <v>425</v>
      </c>
      <c r="I454" s="338" t="s">
        <v>411</v>
      </c>
      <c r="J454" s="339"/>
      <c r="K454" s="339"/>
      <c r="L454" s="339" t="s">
        <v>409</v>
      </c>
      <c r="M454" s="339" t="s">
        <v>409</v>
      </c>
      <c r="N454" s="338" t="s">
        <v>432</v>
      </c>
      <c r="O454" s="338" t="s">
        <v>409</v>
      </c>
      <c r="P454" s="338"/>
    </row>
    <row r="455" spans="2:16" x14ac:dyDescent="0.25">
      <c r="B455" s="336" t="s">
        <v>416</v>
      </c>
      <c r="C455" s="337">
        <v>41429</v>
      </c>
      <c r="D455" s="338" t="s">
        <v>3340</v>
      </c>
      <c r="E455" s="338" t="s">
        <v>916</v>
      </c>
      <c r="F455" s="338"/>
      <c r="G455" s="338" t="s">
        <v>413</v>
      </c>
      <c r="H455" s="338" t="s">
        <v>412</v>
      </c>
      <c r="I455" s="338" t="s">
        <v>411</v>
      </c>
      <c r="J455" s="339"/>
      <c r="K455" s="339"/>
      <c r="L455" s="339" t="s">
        <v>409</v>
      </c>
      <c r="M455" s="339" t="s">
        <v>409</v>
      </c>
      <c r="N455" s="338" t="s">
        <v>417</v>
      </c>
      <c r="O455" s="338" t="s">
        <v>409</v>
      </c>
      <c r="P455" s="338" t="s">
        <v>417</v>
      </c>
    </row>
    <row r="456" spans="2:16" x14ac:dyDescent="0.25">
      <c r="B456" s="336" t="s">
        <v>416</v>
      </c>
      <c r="C456" s="337">
        <v>41429</v>
      </c>
      <c r="D456" s="338" t="s">
        <v>7899</v>
      </c>
      <c r="E456" s="338" t="s">
        <v>874</v>
      </c>
      <c r="F456" s="338" t="s">
        <v>1935</v>
      </c>
      <c r="G456" s="338" t="s">
        <v>413</v>
      </c>
      <c r="H456" s="338" t="s">
        <v>425</v>
      </c>
      <c r="I456" s="338" t="s">
        <v>411</v>
      </c>
      <c r="J456" s="339"/>
      <c r="K456" s="339"/>
      <c r="L456" s="339"/>
      <c r="M456" s="339"/>
      <c r="N456" s="338" t="s">
        <v>432</v>
      </c>
      <c r="O456" s="338" t="s">
        <v>443</v>
      </c>
      <c r="P456" s="338" t="s">
        <v>417</v>
      </c>
    </row>
    <row r="457" spans="2:16" x14ac:dyDescent="0.25">
      <c r="B457" s="336" t="s">
        <v>416</v>
      </c>
      <c r="C457" s="337">
        <v>41429</v>
      </c>
      <c r="D457" s="338" t="s">
        <v>3340</v>
      </c>
      <c r="E457" s="338" t="s">
        <v>916</v>
      </c>
      <c r="F457" s="338" t="s">
        <v>1935</v>
      </c>
      <c r="G457" s="338" t="s">
        <v>413</v>
      </c>
      <c r="H457" s="338" t="s">
        <v>425</v>
      </c>
      <c r="I457" s="338" t="s">
        <v>411</v>
      </c>
      <c r="J457" s="339"/>
      <c r="K457" s="339"/>
      <c r="L457" s="339"/>
      <c r="M457" s="339"/>
      <c r="N457" s="338" t="s">
        <v>417</v>
      </c>
      <c r="O457" s="338" t="s">
        <v>443</v>
      </c>
      <c r="P457" s="338" t="s">
        <v>417</v>
      </c>
    </row>
    <row r="458" spans="2:16" x14ac:dyDescent="0.25">
      <c r="B458" s="336" t="s">
        <v>416</v>
      </c>
      <c r="C458" s="337">
        <v>41428</v>
      </c>
      <c r="D458" s="338" t="s">
        <v>7898</v>
      </c>
      <c r="E458" s="338" t="s">
        <v>7473</v>
      </c>
      <c r="F458" s="338"/>
      <c r="G458" s="338" t="s">
        <v>413</v>
      </c>
      <c r="H458" s="338" t="s">
        <v>412</v>
      </c>
      <c r="I458" s="338" t="s">
        <v>1243</v>
      </c>
      <c r="J458" s="339"/>
      <c r="K458" s="339"/>
      <c r="L458" s="339" t="s">
        <v>409</v>
      </c>
      <c r="M458" s="339" t="s">
        <v>409</v>
      </c>
      <c r="N458" s="338" t="s">
        <v>410</v>
      </c>
      <c r="O458" s="338" t="s">
        <v>409</v>
      </c>
      <c r="P458" s="338" t="s">
        <v>487</v>
      </c>
    </row>
    <row r="459" spans="2:16" x14ac:dyDescent="0.25">
      <c r="B459" s="336" t="s">
        <v>416</v>
      </c>
      <c r="C459" s="337">
        <v>41428</v>
      </c>
      <c r="D459" s="338" t="s">
        <v>7897</v>
      </c>
      <c r="E459" s="338" t="s">
        <v>7890</v>
      </c>
      <c r="F459" s="338"/>
      <c r="G459" s="338" t="s">
        <v>413</v>
      </c>
      <c r="H459" s="338" t="s">
        <v>412</v>
      </c>
      <c r="I459" s="338" t="s">
        <v>411</v>
      </c>
      <c r="J459" s="339"/>
      <c r="K459" s="339"/>
      <c r="L459" s="339" t="s">
        <v>409</v>
      </c>
      <c r="M459" s="339" t="s">
        <v>409</v>
      </c>
      <c r="N459" s="338" t="s">
        <v>487</v>
      </c>
      <c r="O459" s="338" t="s">
        <v>409</v>
      </c>
      <c r="P459" s="338" t="s">
        <v>417</v>
      </c>
    </row>
    <row r="460" spans="2:16" x14ac:dyDescent="0.25">
      <c r="B460" s="336" t="s">
        <v>416</v>
      </c>
      <c r="C460" s="337">
        <v>41428</v>
      </c>
      <c r="D460" s="338" t="s">
        <v>3488</v>
      </c>
      <c r="E460" s="338" t="s">
        <v>485</v>
      </c>
      <c r="F460" s="338"/>
      <c r="G460" s="338" t="s">
        <v>413</v>
      </c>
      <c r="H460" s="338" t="s">
        <v>412</v>
      </c>
      <c r="I460" s="338" t="s">
        <v>411</v>
      </c>
      <c r="J460" s="339"/>
      <c r="K460" s="339"/>
      <c r="L460" s="339" t="s">
        <v>409</v>
      </c>
      <c r="M460" s="339" t="s">
        <v>409</v>
      </c>
      <c r="N460" s="338"/>
      <c r="O460" s="338" t="s">
        <v>409</v>
      </c>
      <c r="P460" s="338" t="s">
        <v>417</v>
      </c>
    </row>
    <row r="461" spans="2:16" x14ac:dyDescent="0.25">
      <c r="B461" s="336" t="s">
        <v>416</v>
      </c>
      <c r="C461" s="337">
        <v>41428</v>
      </c>
      <c r="D461" s="338" t="s">
        <v>7896</v>
      </c>
      <c r="E461" s="338" t="s">
        <v>4212</v>
      </c>
      <c r="F461" s="338"/>
      <c r="G461" s="338" t="s">
        <v>413</v>
      </c>
      <c r="H461" s="338" t="s">
        <v>425</v>
      </c>
      <c r="I461" s="338" t="s">
        <v>411</v>
      </c>
      <c r="J461" s="339"/>
      <c r="K461" s="339"/>
      <c r="L461" s="339" t="s">
        <v>409</v>
      </c>
      <c r="M461" s="339" t="s">
        <v>409</v>
      </c>
      <c r="N461" s="338" t="s">
        <v>417</v>
      </c>
      <c r="O461" s="338" t="s">
        <v>409</v>
      </c>
      <c r="P461" s="338" t="s">
        <v>417</v>
      </c>
    </row>
    <row r="462" spans="2:16" x14ac:dyDescent="0.25">
      <c r="B462" s="336" t="s">
        <v>416</v>
      </c>
      <c r="C462" s="337">
        <v>41425</v>
      </c>
      <c r="D462" s="338" t="s">
        <v>7851</v>
      </c>
      <c r="E462" s="338" t="s">
        <v>3032</v>
      </c>
      <c r="F462" s="338"/>
      <c r="G462" s="338" t="s">
        <v>413</v>
      </c>
      <c r="H462" s="338" t="s">
        <v>425</v>
      </c>
      <c r="I462" s="338" t="s">
        <v>411</v>
      </c>
      <c r="J462" s="339"/>
      <c r="K462" s="339"/>
      <c r="L462" s="339" t="s">
        <v>409</v>
      </c>
      <c r="M462" s="339" t="s">
        <v>409</v>
      </c>
      <c r="N462" s="338" t="s">
        <v>417</v>
      </c>
      <c r="O462" s="338" t="s">
        <v>409</v>
      </c>
      <c r="P462" s="338" t="s">
        <v>443</v>
      </c>
    </row>
    <row r="463" spans="2:16" x14ac:dyDescent="0.25">
      <c r="B463" s="336" t="s">
        <v>416</v>
      </c>
      <c r="C463" s="337">
        <v>41425</v>
      </c>
      <c r="D463" s="338" t="s">
        <v>7895</v>
      </c>
      <c r="E463" s="338" t="s">
        <v>7894</v>
      </c>
      <c r="F463" s="338" t="s">
        <v>7893</v>
      </c>
      <c r="G463" s="338" t="s">
        <v>413</v>
      </c>
      <c r="H463" s="338" t="s">
        <v>425</v>
      </c>
      <c r="I463" s="338" t="s">
        <v>1243</v>
      </c>
      <c r="J463" s="339"/>
      <c r="K463" s="339"/>
      <c r="L463" s="339"/>
      <c r="M463" s="339"/>
      <c r="N463" s="338"/>
      <c r="O463" s="338" t="s">
        <v>443</v>
      </c>
      <c r="P463" s="338" t="s">
        <v>443</v>
      </c>
    </row>
    <row r="464" spans="2:16" x14ac:dyDescent="0.25">
      <c r="B464" s="336" t="s">
        <v>416</v>
      </c>
      <c r="C464" s="337">
        <v>41425</v>
      </c>
      <c r="D464" s="338" t="s">
        <v>7892</v>
      </c>
      <c r="E464" s="338" t="s">
        <v>3345</v>
      </c>
      <c r="F464" s="338"/>
      <c r="G464" s="338" t="s">
        <v>413</v>
      </c>
      <c r="H464" s="338" t="s">
        <v>412</v>
      </c>
      <c r="I464" s="338" t="s">
        <v>411</v>
      </c>
      <c r="J464" s="339"/>
      <c r="K464" s="339"/>
      <c r="L464" s="339" t="s">
        <v>409</v>
      </c>
      <c r="M464" s="339" t="s">
        <v>409</v>
      </c>
      <c r="N464" s="338" t="s">
        <v>417</v>
      </c>
      <c r="O464" s="338" t="s">
        <v>409</v>
      </c>
      <c r="P464" s="338" t="s">
        <v>443</v>
      </c>
    </row>
    <row r="465" spans="2:16" x14ac:dyDescent="0.25">
      <c r="B465" s="336" t="s">
        <v>416</v>
      </c>
      <c r="C465" s="337">
        <v>41425</v>
      </c>
      <c r="D465" s="338" t="s">
        <v>4762</v>
      </c>
      <c r="E465" s="338" t="s">
        <v>1283</v>
      </c>
      <c r="F465" s="338" t="s">
        <v>1203</v>
      </c>
      <c r="G465" s="338">
        <v>100</v>
      </c>
      <c r="H465" s="338" t="s">
        <v>425</v>
      </c>
      <c r="I465" s="338" t="s">
        <v>411</v>
      </c>
      <c r="J465" s="339"/>
      <c r="K465" s="339"/>
      <c r="L465" s="339">
        <v>1.88785</v>
      </c>
      <c r="M465" s="339">
        <v>4.0728</v>
      </c>
      <c r="N465" s="338"/>
      <c r="O465" s="338" t="s">
        <v>417</v>
      </c>
      <c r="P465" s="338" t="s">
        <v>432</v>
      </c>
    </row>
    <row r="466" spans="2:16" x14ac:dyDescent="0.25">
      <c r="B466" s="336" t="s">
        <v>416</v>
      </c>
      <c r="C466" s="337">
        <v>41425</v>
      </c>
      <c r="D466" s="338" t="s">
        <v>7891</v>
      </c>
      <c r="E466" s="338" t="s">
        <v>7890</v>
      </c>
      <c r="F466" s="338"/>
      <c r="G466" s="338" t="s">
        <v>413</v>
      </c>
      <c r="H466" s="338" t="s">
        <v>412</v>
      </c>
      <c r="I466" s="338" t="s">
        <v>411</v>
      </c>
      <c r="J466" s="339"/>
      <c r="K466" s="339"/>
      <c r="L466" s="339" t="s">
        <v>409</v>
      </c>
      <c r="M466" s="339" t="s">
        <v>409</v>
      </c>
      <c r="N466" s="338" t="s">
        <v>487</v>
      </c>
      <c r="O466" s="338" t="s">
        <v>409</v>
      </c>
      <c r="P466" s="338" t="s">
        <v>417</v>
      </c>
    </row>
    <row r="467" spans="2:16" x14ac:dyDescent="0.25">
      <c r="B467" s="336" t="s">
        <v>416</v>
      </c>
      <c r="C467" s="337">
        <v>41425</v>
      </c>
      <c r="D467" s="338" t="s">
        <v>7889</v>
      </c>
      <c r="E467" s="338" t="s">
        <v>7888</v>
      </c>
      <c r="F467" s="338" t="s">
        <v>842</v>
      </c>
      <c r="G467" s="338">
        <v>774</v>
      </c>
      <c r="H467" s="338" t="s">
        <v>425</v>
      </c>
      <c r="I467" s="338" t="s">
        <v>411</v>
      </c>
      <c r="J467" s="339"/>
      <c r="K467" s="339"/>
      <c r="L467" s="339">
        <v>2.00787</v>
      </c>
      <c r="M467" s="339">
        <v>12.1244</v>
      </c>
      <c r="N467" s="338"/>
      <c r="O467" s="338" t="s">
        <v>487</v>
      </c>
      <c r="P467" s="338" t="s">
        <v>443</v>
      </c>
    </row>
    <row r="468" spans="2:16" x14ac:dyDescent="0.25">
      <c r="B468" s="336" t="s">
        <v>416</v>
      </c>
      <c r="C468" s="337">
        <v>41425</v>
      </c>
      <c r="D468" s="338" t="s">
        <v>7887</v>
      </c>
      <c r="E468" s="338" t="s">
        <v>2363</v>
      </c>
      <c r="F468" s="338" t="s">
        <v>7886</v>
      </c>
      <c r="G468" s="338" t="s">
        <v>413</v>
      </c>
      <c r="H468" s="338" t="s">
        <v>425</v>
      </c>
      <c r="I468" s="338" t="s">
        <v>411</v>
      </c>
      <c r="J468" s="339"/>
      <c r="K468" s="339"/>
      <c r="L468" s="339"/>
      <c r="M468" s="339"/>
      <c r="N468" s="338"/>
      <c r="O468" s="338" t="s">
        <v>410</v>
      </c>
      <c r="P468" s="338" t="s">
        <v>417</v>
      </c>
    </row>
    <row r="469" spans="2:16" x14ac:dyDescent="0.25">
      <c r="B469" s="336" t="s">
        <v>416</v>
      </c>
      <c r="C469" s="337">
        <v>41424</v>
      </c>
      <c r="D469" s="338" t="s">
        <v>7885</v>
      </c>
      <c r="E469" s="338" t="s">
        <v>874</v>
      </c>
      <c r="F469" s="338"/>
      <c r="G469" s="338" t="s">
        <v>413</v>
      </c>
      <c r="H469" s="338" t="s">
        <v>412</v>
      </c>
      <c r="I469" s="338" t="s">
        <v>411</v>
      </c>
      <c r="J469" s="339"/>
      <c r="K469" s="339"/>
      <c r="L469" s="339" t="s">
        <v>409</v>
      </c>
      <c r="M469" s="339" t="s">
        <v>409</v>
      </c>
      <c r="N469" s="338" t="s">
        <v>410</v>
      </c>
      <c r="O469" s="338" t="s">
        <v>409</v>
      </c>
      <c r="P469" s="338" t="s">
        <v>417</v>
      </c>
    </row>
    <row r="470" spans="2:16" x14ac:dyDescent="0.25">
      <c r="B470" s="336" t="s">
        <v>416</v>
      </c>
      <c r="C470" s="337">
        <v>41424</v>
      </c>
      <c r="D470" s="338" t="s">
        <v>4569</v>
      </c>
      <c r="E470" s="338" t="s">
        <v>7884</v>
      </c>
      <c r="F470" s="338"/>
      <c r="G470" s="338" t="s">
        <v>413</v>
      </c>
      <c r="H470" s="338" t="s">
        <v>412</v>
      </c>
      <c r="I470" s="338" t="s">
        <v>411</v>
      </c>
      <c r="J470" s="339"/>
      <c r="K470" s="339"/>
      <c r="L470" s="339" t="s">
        <v>409</v>
      </c>
      <c r="M470" s="339" t="s">
        <v>409</v>
      </c>
      <c r="N470" s="338" t="s">
        <v>417</v>
      </c>
      <c r="O470" s="338" t="s">
        <v>409</v>
      </c>
      <c r="P470" s="338" t="s">
        <v>443</v>
      </c>
    </row>
    <row r="471" spans="2:16" x14ac:dyDescent="0.25">
      <c r="B471" s="336" t="s">
        <v>416</v>
      </c>
      <c r="C471" s="337">
        <v>41423</v>
      </c>
      <c r="D471" s="338" t="s">
        <v>7883</v>
      </c>
      <c r="E471" s="338" t="s">
        <v>485</v>
      </c>
      <c r="F471" s="338"/>
      <c r="G471" s="338" t="s">
        <v>413</v>
      </c>
      <c r="H471" s="338" t="s">
        <v>412</v>
      </c>
      <c r="I471" s="338" t="s">
        <v>411</v>
      </c>
      <c r="J471" s="339"/>
      <c r="K471" s="339"/>
      <c r="L471" s="339" t="s">
        <v>409</v>
      </c>
      <c r="M471" s="339" t="s">
        <v>409</v>
      </c>
      <c r="N471" s="338" t="s">
        <v>443</v>
      </c>
      <c r="O471" s="338" t="s">
        <v>409</v>
      </c>
      <c r="P471" s="338" t="s">
        <v>417</v>
      </c>
    </row>
    <row r="472" spans="2:16" x14ac:dyDescent="0.25">
      <c r="B472" s="336" t="s">
        <v>416</v>
      </c>
      <c r="C472" s="337">
        <v>41422</v>
      </c>
      <c r="D472" s="338" t="s">
        <v>7882</v>
      </c>
      <c r="E472" s="338" t="s">
        <v>7881</v>
      </c>
      <c r="F472" s="338" t="s">
        <v>7880</v>
      </c>
      <c r="G472" s="338">
        <v>272</v>
      </c>
      <c r="H472" s="338" t="s">
        <v>425</v>
      </c>
      <c r="I472" s="338" t="s">
        <v>411</v>
      </c>
      <c r="J472" s="339"/>
      <c r="K472" s="339"/>
      <c r="L472" s="339"/>
      <c r="M472" s="339"/>
      <c r="N472" s="338" t="s">
        <v>410</v>
      </c>
      <c r="O472" s="338" t="s">
        <v>410</v>
      </c>
      <c r="P472" s="338" t="s">
        <v>482</v>
      </c>
    </row>
    <row r="473" spans="2:16" x14ac:dyDescent="0.25">
      <c r="B473" s="336" t="s">
        <v>416</v>
      </c>
      <c r="C473" s="337">
        <v>41418</v>
      </c>
      <c r="D473" s="338" t="s">
        <v>956</v>
      </c>
      <c r="E473" s="338" t="s">
        <v>3012</v>
      </c>
      <c r="F473" s="338" t="s">
        <v>7879</v>
      </c>
      <c r="G473" s="338" t="s">
        <v>413</v>
      </c>
      <c r="H473" s="338" t="s">
        <v>425</v>
      </c>
      <c r="I473" s="338" t="s">
        <v>411</v>
      </c>
      <c r="J473" s="339"/>
      <c r="K473" s="339"/>
      <c r="L473" s="339"/>
      <c r="M473" s="339"/>
      <c r="N473" s="338"/>
      <c r="O473" s="338" t="s">
        <v>417</v>
      </c>
      <c r="P473" s="338" t="s">
        <v>417</v>
      </c>
    </row>
    <row r="474" spans="2:16" x14ac:dyDescent="0.25">
      <c r="B474" s="336" t="s">
        <v>416</v>
      </c>
      <c r="C474" s="337">
        <v>41418</v>
      </c>
      <c r="D474" s="338" t="s">
        <v>7878</v>
      </c>
      <c r="E474" s="338" t="s">
        <v>7877</v>
      </c>
      <c r="F474" s="338"/>
      <c r="G474" s="338" t="s">
        <v>413</v>
      </c>
      <c r="H474" s="338" t="s">
        <v>412</v>
      </c>
      <c r="I474" s="338" t="s">
        <v>411</v>
      </c>
      <c r="J474" s="339"/>
      <c r="K474" s="339"/>
      <c r="L474" s="339" t="s">
        <v>409</v>
      </c>
      <c r="M474" s="339" t="s">
        <v>409</v>
      </c>
      <c r="N474" s="338" t="s">
        <v>410</v>
      </c>
      <c r="O474" s="338" t="s">
        <v>409</v>
      </c>
      <c r="P474" s="338" t="s">
        <v>417</v>
      </c>
    </row>
    <row r="475" spans="2:16" x14ac:dyDescent="0.25">
      <c r="B475" s="336" t="s">
        <v>416</v>
      </c>
      <c r="C475" s="337">
        <v>41417</v>
      </c>
      <c r="D475" s="338" t="s">
        <v>7876</v>
      </c>
      <c r="E475" s="338" t="s">
        <v>2046</v>
      </c>
      <c r="F475" s="338"/>
      <c r="G475" s="338">
        <v>934.34</v>
      </c>
      <c r="H475" s="338" t="s">
        <v>425</v>
      </c>
      <c r="I475" s="338" t="s">
        <v>411</v>
      </c>
      <c r="J475" s="339">
        <v>0.98471900000000001</v>
      </c>
      <c r="K475" s="339">
        <v>10.2712</v>
      </c>
      <c r="L475" s="339" t="s">
        <v>409</v>
      </c>
      <c r="M475" s="339" t="s">
        <v>409</v>
      </c>
      <c r="N475" s="338" t="s">
        <v>417</v>
      </c>
      <c r="O475" s="338" t="s">
        <v>409</v>
      </c>
      <c r="P475" s="338" t="s">
        <v>443</v>
      </c>
    </row>
    <row r="476" spans="2:16" x14ac:dyDescent="0.25">
      <c r="B476" s="336" t="s">
        <v>459</v>
      </c>
      <c r="C476" s="337">
        <v>41416</v>
      </c>
      <c r="D476" s="338" t="s">
        <v>7875</v>
      </c>
      <c r="E476" s="338" t="s">
        <v>7874</v>
      </c>
      <c r="F476" s="338"/>
      <c r="G476" s="338">
        <v>4.25</v>
      </c>
      <c r="H476" s="338" t="s">
        <v>425</v>
      </c>
      <c r="I476" s="338" t="s">
        <v>411</v>
      </c>
      <c r="J476" s="339"/>
      <c r="K476" s="339"/>
      <c r="L476" s="339" t="s">
        <v>409</v>
      </c>
      <c r="M476" s="339" t="s">
        <v>409</v>
      </c>
      <c r="N476" s="338" t="s">
        <v>432</v>
      </c>
      <c r="O476" s="338" t="s">
        <v>409</v>
      </c>
      <c r="P476" s="338"/>
    </row>
    <row r="477" spans="2:16" x14ac:dyDescent="0.25">
      <c r="B477" s="336" t="s">
        <v>416</v>
      </c>
      <c r="C477" s="337">
        <v>41416</v>
      </c>
      <c r="D477" s="338" t="s">
        <v>7873</v>
      </c>
      <c r="E477" s="338" t="s">
        <v>7872</v>
      </c>
      <c r="F477" s="338"/>
      <c r="G477" s="338">
        <v>2.9</v>
      </c>
      <c r="H477" s="338" t="s">
        <v>418</v>
      </c>
      <c r="I477" s="338" t="s">
        <v>1243</v>
      </c>
      <c r="J477" s="339"/>
      <c r="K477" s="339"/>
      <c r="L477" s="339" t="s">
        <v>409</v>
      </c>
      <c r="M477" s="339" t="s">
        <v>409</v>
      </c>
      <c r="N477" s="338" t="s">
        <v>417</v>
      </c>
      <c r="O477" s="338" t="s">
        <v>409</v>
      </c>
      <c r="P477" s="338" t="s">
        <v>417</v>
      </c>
    </row>
    <row r="478" spans="2:16" x14ac:dyDescent="0.25">
      <c r="B478" s="336" t="s">
        <v>459</v>
      </c>
      <c r="C478" s="337">
        <v>41416</v>
      </c>
      <c r="D478" s="338" t="s">
        <v>7871</v>
      </c>
      <c r="E478" s="338" t="s">
        <v>514</v>
      </c>
      <c r="F478" s="338"/>
      <c r="G478" s="338" t="s">
        <v>413</v>
      </c>
      <c r="H478" s="338" t="s">
        <v>412</v>
      </c>
      <c r="I478" s="338" t="s">
        <v>411</v>
      </c>
      <c r="J478" s="339"/>
      <c r="K478" s="339"/>
      <c r="L478" s="339" t="s">
        <v>409</v>
      </c>
      <c r="M478" s="339" t="s">
        <v>409</v>
      </c>
      <c r="N478" s="338" t="s">
        <v>417</v>
      </c>
      <c r="O478" s="338" t="s">
        <v>409</v>
      </c>
      <c r="P478" s="338"/>
    </row>
    <row r="479" spans="2:16" x14ac:dyDescent="0.25">
      <c r="B479" s="336" t="s">
        <v>416</v>
      </c>
      <c r="C479" s="337">
        <v>41416</v>
      </c>
      <c r="D479" s="338" t="s">
        <v>7870</v>
      </c>
      <c r="E479" s="338" t="s">
        <v>3407</v>
      </c>
      <c r="F479" s="338"/>
      <c r="G479" s="338" t="s">
        <v>413</v>
      </c>
      <c r="H479" s="338" t="s">
        <v>412</v>
      </c>
      <c r="I479" s="338" t="s">
        <v>411</v>
      </c>
      <c r="J479" s="339"/>
      <c r="K479" s="339"/>
      <c r="L479" s="339" t="s">
        <v>409</v>
      </c>
      <c r="M479" s="339" t="s">
        <v>409</v>
      </c>
      <c r="N479" s="338"/>
      <c r="O479" s="338" t="s">
        <v>409</v>
      </c>
      <c r="P479" s="338" t="s">
        <v>543</v>
      </c>
    </row>
    <row r="480" spans="2:16" x14ac:dyDescent="0.25">
      <c r="B480" s="336" t="s">
        <v>416</v>
      </c>
      <c r="C480" s="337">
        <v>41415</v>
      </c>
      <c r="D480" s="338" t="s">
        <v>7869</v>
      </c>
      <c r="E480" s="338" t="s">
        <v>669</v>
      </c>
      <c r="F480" s="338" t="s">
        <v>7868</v>
      </c>
      <c r="G480" s="338" t="s">
        <v>413</v>
      </c>
      <c r="H480" s="338" t="s">
        <v>412</v>
      </c>
      <c r="I480" s="338" t="s">
        <v>1243</v>
      </c>
      <c r="J480" s="339"/>
      <c r="K480" s="339"/>
      <c r="L480" s="339">
        <v>2.9576500000000001</v>
      </c>
      <c r="M480" s="339">
        <v>14.845800000000001</v>
      </c>
      <c r="N480" s="338" t="s">
        <v>417</v>
      </c>
      <c r="O480" s="338" t="s">
        <v>432</v>
      </c>
      <c r="P480" s="338"/>
    </row>
    <row r="481" spans="2:16" x14ac:dyDescent="0.25">
      <c r="B481" s="336" t="s">
        <v>416</v>
      </c>
      <c r="C481" s="337">
        <v>41414</v>
      </c>
      <c r="D481" s="338" t="s">
        <v>7867</v>
      </c>
      <c r="E481" s="338" t="s">
        <v>7629</v>
      </c>
      <c r="F481" s="338"/>
      <c r="G481" s="338" t="s">
        <v>413</v>
      </c>
      <c r="H481" s="338" t="s">
        <v>425</v>
      </c>
      <c r="I481" s="338" t="s">
        <v>1243</v>
      </c>
      <c r="J481" s="339"/>
      <c r="K481" s="339"/>
      <c r="L481" s="339" t="s">
        <v>409</v>
      </c>
      <c r="M481" s="339" t="s">
        <v>409</v>
      </c>
      <c r="N481" s="338" t="s">
        <v>417</v>
      </c>
      <c r="O481" s="338" t="s">
        <v>409</v>
      </c>
      <c r="P481" s="338" t="s">
        <v>417</v>
      </c>
    </row>
    <row r="482" spans="2:16" x14ac:dyDescent="0.25">
      <c r="B482" s="336" t="s">
        <v>416</v>
      </c>
      <c r="C482" s="337">
        <v>41414</v>
      </c>
      <c r="D482" s="338" t="s">
        <v>7866</v>
      </c>
      <c r="E482" s="338" t="s">
        <v>7865</v>
      </c>
      <c r="F482" s="338" t="s">
        <v>7864</v>
      </c>
      <c r="G482" s="338" t="s">
        <v>413</v>
      </c>
      <c r="H482" s="338" t="s">
        <v>425</v>
      </c>
      <c r="I482" s="338" t="s">
        <v>1243</v>
      </c>
      <c r="J482" s="339"/>
      <c r="K482" s="339"/>
      <c r="L482" s="339"/>
      <c r="M482" s="339"/>
      <c r="N482" s="338"/>
      <c r="O482" s="338" t="s">
        <v>417</v>
      </c>
      <c r="P482" s="338" t="s">
        <v>443</v>
      </c>
    </row>
    <row r="483" spans="2:16" x14ac:dyDescent="0.25">
      <c r="B483" s="336" t="s">
        <v>416</v>
      </c>
      <c r="C483" s="337">
        <v>41414</v>
      </c>
      <c r="D483" s="338" t="s">
        <v>7863</v>
      </c>
      <c r="E483" s="338" t="s">
        <v>7862</v>
      </c>
      <c r="F483" s="338"/>
      <c r="G483" s="338" t="s">
        <v>413</v>
      </c>
      <c r="H483" s="338" t="s">
        <v>412</v>
      </c>
      <c r="I483" s="338" t="s">
        <v>411</v>
      </c>
      <c r="J483" s="339"/>
      <c r="K483" s="339"/>
      <c r="L483" s="339" t="s">
        <v>409</v>
      </c>
      <c r="M483" s="339" t="s">
        <v>409</v>
      </c>
      <c r="N483" s="338" t="s">
        <v>417</v>
      </c>
      <c r="O483" s="338" t="s">
        <v>409</v>
      </c>
      <c r="P483" s="338" t="s">
        <v>417</v>
      </c>
    </row>
    <row r="484" spans="2:16" x14ac:dyDescent="0.25">
      <c r="B484" s="336" t="s">
        <v>416</v>
      </c>
      <c r="C484" s="337">
        <v>41410</v>
      </c>
      <c r="D484" s="338" t="s">
        <v>7861</v>
      </c>
      <c r="E484" s="338" t="s">
        <v>7860</v>
      </c>
      <c r="F484" s="338"/>
      <c r="G484" s="338" t="s">
        <v>413</v>
      </c>
      <c r="H484" s="338" t="s">
        <v>412</v>
      </c>
      <c r="I484" s="338" t="s">
        <v>411</v>
      </c>
      <c r="J484" s="339"/>
      <c r="K484" s="339"/>
      <c r="L484" s="339" t="s">
        <v>409</v>
      </c>
      <c r="M484" s="339" t="s">
        <v>409</v>
      </c>
      <c r="N484" s="338" t="s">
        <v>417</v>
      </c>
      <c r="O484" s="338" t="s">
        <v>409</v>
      </c>
      <c r="P484" s="338" t="s">
        <v>417</v>
      </c>
    </row>
    <row r="485" spans="2:16" x14ac:dyDescent="0.25">
      <c r="B485" s="336" t="s">
        <v>416</v>
      </c>
      <c r="C485" s="337">
        <v>41410</v>
      </c>
      <c r="D485" s="338" t="s">
        <v>956</v>
      </c>
      <c r="E485" s="338" t="s">
        <v>477</v>
      </c>
      <c r="F485" s="338" t="s">
        <v>7859</v>
      </c>
      <c r="G485" s="338">
        <v>3.5</v>
      </c>
      <c r="H485" s="338" t="s">
        <v>425</v>
      </c>
      <c r="I485" s="338" t="s">
        <v>411</v>
      </c>
      <c r="J485" s="339"/>
      <c r="K485" s="339"/>
      <c r="L485" s="339"/>
      <c r="M485" s="339"/>
      <c r="N485" s="338"/>
      <c r="O485" s="338" t="s">
        <v>417</v>
      </c>
      <c r="P485" s="338" t="s">
        <v>417</v>
      </c>
    </row>
    <row r="486" spans="2:16" x14ac:dyDescent="0.25">
      <c r="B486" s="336" t="s">
        <v>416</v>
      </c>
      <c r="C486" s="337">
        <v>41410</v>
      </c>
      <c r="D486" s="338" t="s">
        <v>7211</v>
      </c>
      <c r="E486" s="338" t="s">
        <v>7858</v>
      </c>
      <c r="F486" s="338"/>
      <c r="G486" s="338" t="s">
        <v>413</v>
      </c>
      <c r="H486" s="338" t="s">
        <v>412</v>
      </c>
      <c r="I486" s="338" t="s">
        <v>411</v>
      </c>
      <c r="J486" s="339"/>
      <c r="K486" s="339"/>
      <c r="L486" s="339" t="s">
        <v>409</v>
      </c>
      <c r="M486" s="339" t="s">
        <v>409</v>
      </c>
      <c r="N486" s="338" t="s">
        <v>417</v>
      </c>
      <c r="O486" s="338" t="s">
        <v>409</v>
      </c>
      <c r="P486" s="338" t="s">
        <v>410</v>
      </c>
    </row>
    <row r="487" spans="2:16" x14ac:dyDescent="0.25">
      <c r="B487" s="336" t="s">
        <v>416</v>
      </c>
      <c r="C487" s="337">
        <v>41410</v>
      </c>
      <c r="D487" s="338" t="s">
        <v>714</v>
      </c>
      <c r="E487" s="338" t="s">
        <v>7857</v>
      </c>
      <c r="F487" s="338" t="s">
        <v>7856</v>
      </c>
      <c r="G487" s="338" t="s">
        <v>413</v>
      </c>
      <c r="H487" s="338" t="s">
        <v>412</v>
      </c>
      <c r="I487" s="338" t="s">
        <v>411</v>
      </c>
      <c r="J487" s="339">
        <v>0.65483000000000002</v>
      </c>
      <c r="K487" s="339">
        <v>7.1418200000000001</v>
      </c>
      <c r="L487" s="339"/>
      <c r="M487" s="339"/>
      <c r="N487" s="338" t="s">
        <v>417</v>
      </c>
      <c r="O487" s="338"/>
      <c r="P487" s="338" t="s">
        <v>410</v>
      </c>
    </row>
    <row r="488" spans="2:16" x14ac:dyDescent="0.25">
      <c r="B488" s="336" t="s">
        <v>416</v>
      </c>
      <c r="C488" s="337">
        <v>41408</v>
      </c>
      <c r="D488" s="338" t="s">
        <v>7855</v>
      </c>
      <c r="E488" s="338" t="s">
        <v>5440</v>
      </c>
      <c r="F488" s="338"/>
      <c r="G488" s="338" t="s">
        <v>413</v>
      </c>
      <c r="H488" s="338" t="s">
        <v>412</v>
      </c>
      <c r="I488" s="338" t="s">
        <v>411</v>
      </c>
      <c r="J488" s="339"/>
      <c r="K488" s="339"/>
      <c r="L488" s="339" t="s">
        <v>409</v>
      </c>
      <c r="M488" s="339" t="s">
        <v>409</v>
      </c>
      <c r="N488" s="338" t="s">
        <v>432</v>
      </c>
      <c r="O488" s="338" t="s">
        <v>409</v>
      </c>
      <c r="P488" s="338" t="s">
        <v>417</v>
      </c>
    </row>
    <row r="489" spans="2:16" x14ac:dyDescent="0.25">
      <c r="B489" s="336" t="s">
        <v>416</v>
      </c>
      <c r="C489" s="337">
        <v>41408</v>
      </c>
      <c r="D489" s="338" t="s">
        <v>7854</v>
      </c>
      <c r="E489" s="338" t="s">
        <v>5440</v>
      </c>
      <c r="F489" s="338"/>
      <c r="G489" s="338" t="s">
        <v>413</v>
      </c>
      <c r="H489" s="338" t="s">
        <v>412</v>
      </c>
      <c r="I489" s="338" t="s">
        <v>411</v>
      </c>
      <c r="J489" s="339"/>
      <c r="K489" s="339"/>
      <c r="L489" s="339" t="s">
        <v>409</v>
      </c>
      <c r="M489" s="339" t="s">
        <v>409</v>
      </c>
      <c r="N489" s="338" t="s">
        <v>605</v>
      </c>
      <c r="O489" s="338" t="s">
        <v>409</v>
      </c>
      <c r="P489" s="338" t="s">
        <v>417</v>
      </c>
    </row>
    <row r="490" spans="2:16" x14ac:dyDescent="0.25">
      <c r="B490" s="336" t="s">
        <v>459</v>
      </c>
      <c r="C490" s="337">
        <v>41408</v>
      </c>
      <c r="D490" s="338" t="s">
        <v>7853</v>
      </c>
      <c r="E490" s="338" t="s">
        <v>514</v>
      </c>
      <c r="F490" s="338"/>
      <c r="G490" s="338">
        <v>2.1</v>
      </c>
      <c r="H490" s="338" t="s">
        <v>425</v>
      </c>
      <c r="I490" s="338" t="s">
        <v>411</v>
      </c>
      <c r="J490" s="339"/>
      <c r="K490" s="339"/>
      <c r="L490" s="339" t="s">
        <v>409</v>
      </c>
      <c r="M490" s="339" t="s">
        <v>409</v>
      </c>
      <c r="N490" s="338" t="s">
        <v>417</v>
      </c>
      <c r="O490" s="338" t="s">
        <v>409</v>
      </c>
      <c r="P490" s="338"/>
    </row>
    <row r="491" spans="2:16" x14ac:dyDescent="0.25">
      <c r="B491" s="336" t="s">
        <v>416</v>
      </c>
      <c r="C491" s="337">
        <v>41408</v>
      </c>
      <c r="D491" s="338" t="s">
        <v>7852</v>
      </c>
      <c r="E491" s="338" t="s">
        <v>7851</v>
      </c>
      <c r="F491" s="338" t="s">
        <v>1028</v>
      </c>
      <c r="G491" s="338">
        <v>74</v>
      </c>
      <c r="H491" s="338" t="s">
        <v>425</v>
      </c>
      <c r="I491" s="338" t="s">
        <v>411</v>
      </c>
      <c r="J491" s="339"/>
      <c r="K491" s="339"/>
      <c r="L491" s="339">
        <v>0.45597599999999999</v>
      </c>
      <c r="M491" s="339">
        <v>7.1679500000000003</v>
      </c>
      <c r="N491" s="338"/>
      <c r="O491" s="338" t="s">
        <v>417</v>
      </c>
      <c r="P491" s="338" t="s">
        <v>417</v>
      </c>
    </row>
    <row r="492" spans="2:16" x14ac:dyDescent="0.25">
      <c r="B492" s="336" t="s">
        <v>416</v>
      </c>
      <c r="C492" s="337">
        <v>41407</v>
      </c>
      <c r="D492" s="338" t="s">
        <v>7850</v>
      </c>
      <c r="E492" s="338" t="s">
        <v>7849</v>
      </c>
      <c r="F492" s="338"/>
      <c r="G492" s="338">
        <v>3.08</v>
      </c>
      <c r="H492" s="338" t="s">
        <v>425</v>
      </c>
      <c r="I492" s="338" t="s">
        <v>411</v>
      </c>
      <c r="J492" s="339"/>
      <c r="K492" s="339"/>
      <c r="L492" s="339" t="s">
        <v>409</v>
      </c>
      <c r="M492" s="339" t="s">
        <v>409</v>
      </c>
      <c r="N492" s="338" t="s">
        <v>410</v>
      </c>
      <c r="O492" s="338" t="s">
        <v>409</v>
      </c>
      <c r="P492" s="338" t="s">
        <v>410</v>
      </c>
    </row>
    <row r="493" spans="2:16" x14ac:dyDescent="0.25">
      <c r="B493" s="336" t="s">
        <v>416</v>
      </c>
      <c r="C493" s="337">
        <v>41406</v>
      </c>
      <c r="D493" s="338" t="s">
        <v>7848</v>
      </c>
      <c r="E493" s="338" t="s">
        <v>5922</v>
      </c>
      <c r="F493" s="338" t="s">
        <v>7847</v>
      </c>
      <c r="G493" s="338" t="s">
        <v>413</v>
      </c>
      <c r="H493" s="338" t="s">
        <v>425</v>
      </c>
      <c r="I493" s="338" t="s">
        <v>411</v>
      </c>
      <c r="J493" s="339"/>
      <c r="K493" s="339"/>
      <c r="L493" s="339"/>
      <c r="M493" s="339"/>
      <c r="N493" s="338"/>
      <c r="O493" s="338"/>
      <c r="P493" s="338" t="s">
        <v>417</v>
      </c>
    </row>
    <row r="494" spans="2:16" x14ac:dyDescent="0.25">
      <c r="B494" s="336" t="s">
        <v>416</v>
      </c>
      <c r="C494" s="337">
        <v>41403</v>
      </c>
      <c r="D494" s="338" t="s">
        <v>7846</v>
      </c>
      <c r="E494" s="338" t="s">
        <v>7845</v>
      </c>
      <c r="F494" s="338"/>
      <c r="G494" s="338" t="s">
        <v>413</v>
      </c>
      <c r="H494" s="338" t="s">
        <v>425</v>
      </c>
      <c r="I494" s="338" t="s">
        <v>411</v>
      </c>
      <c r="J494" s="339"/>
      <c r="K494" s="339"/>
      <c r="L494" s="339" t="s">
        <v>409</v>
      </c>
      <c r="M494" s="339" t="s">
        <v>409</v>
      </c>
      <c r="N494" s="338" t="s">
        <v>417</v>
      </c>
      <c r="O494" s="338" t="s">
        <v>409</v>
      </c>
      <c r="P494" s="338" t="s">
        <v>482</v>
      </c>
    </row>
    <row r="495" spans="2:16" x14ac:dyDescent="0.25">
      <c r="B495" s="336" t="s">
        <v>416</v>
      </c>
      <c r="C495" s="337">
        <v>41403</v>
      </c>
      <c r="D495" s="338" t="s">
        <v>7844</v>
      </c>
      <c r="E495" s="338" t="s">
        <v>6706</v>
      </c>
      <c r="F495" s="338"/>
      <c r="G495" s="338" t="s">
        <v>413</v>
      </c>
      <c r="H495" s="338" t="s">
        <v>412</v>
      </c>
      <c r="I495" s="338" t="s">
        <v>411</v>
      </c>
      <c r="J495" s="339"/>
      <c r="K495" s="339"/>
      <c r="L495" s="339" t="s">
        <v>409</v>
      </c>
      <c r="M495" s="339" t="s">
        <v>409</v>
      </c>
      <c r="N495" s="338" t="s">
        <v>417</v>
      </c>
      <c r="O495" s="338" t="s">
        <v>409</v>
      </c>
      <c r="P495" s="338" t="s">
        <v>417</v>
      </c>
    </row>
    <row r="496" spans="2:16" x14ac:dyDescent="0.25">
      <c r="B496" s="336" t="s">
        <v>416</v>
      </c>
      <c r="C496" s="337">
        <v>41403</v>
      </c>
      <c r="D496" s="338" t="s">
        <v>7843</v>
      </c>
      <c r="E496" s="338" t="s">
        <v>7842</v>
      </c>
      <c r="F496" s="338" t="s">
        <v>5535</v>
      </c>
      <c r="G496" s="338">
        <v>650</v>
      </c>
      <c r="H496" s="338" t="s">
        <v>425</v>
      </c>
      <c r="I496" s="338" t="s">
        <v>411</v>
      </c>
      <c r="J496" s="339"/>
      <c r="K496" s="339"/>
      <c r="L496" s="339"/>
      <c r="M496" s="339"/>
      <c r="N496" s="338"/>
      <c r="O496" s="338" t="s">
        <v>605</v>
      </c>
      <c r="P496" s="338" t="s">
        <v>410</v>
      </c>
    </row>
    <row r="497" spans="2:16" x14ac:dyDescent="0.25">
      <c r="B497" s="336" t="s">
        <v>416</v>
      </c>
      <c r="C497" s="337">
        <v>41403</v>
      </c>
      <c r="D497" s="338" t="s">
        <v>7841</v>
      </c>
      <c r="E497" s="338" t="s">
        <v>7840</v>
      </c>
      <c r="F497" s="338" t="s">
        <v>7839</v>
      </c>
      <c r="G497" s="338" t="s">
        <v>413</v>
      </c>
      <c r="H497" s="338" t="s">
        <v>425</v>
      </c>
      <c r="I497" s="338" t="s">
        <v>1243</v>
      </c>
      <c r="J497" s="339"/>
      <c r="K497" s="339"/>
      <c r="L497" s="339"/>
      <c r="M497" s="339"/>
      <c r="N497" s="338" t="s">
        <v>417</v>
      </c>
      <c r="O497" s="338" t="s">
        <v>417</v>
      </c>
      <c r="P497" s="338" t="s">
        <v>443</v>
      </c>
    </row>
    <row r="498" spans="2:16" x14ac:dyDescent="0.25">
      <c r="B498" s="336" t="s">
        <v>459</v>
      </c>
      <c r="C498" s="337">
        <v>41402</v>
      </c>
      <c r="D498" s="338" t="s">
        <v>7838</v>
      </c>
      <c r="E498" s="338" t="s">
        <v>7837</v>
      </c>
      <c r="F498" s="338"/>
      <c r="G498" s="338">
        <v>4.8</v>
      </c>
      <c r="H498" s="338" t="s">
        <v>425</v>
      </c>
      <c r="I498" s="338" t="s">
        <v>411</v>
      </c>
      <c r="J498" s="339"/>
      <c r="K498" s="339"/>
      <c r="L498" s="339" t="s">
        <v>409</v>
      </c>
      <c r="M498" s="339" t="s">
        <v>409</v>
      </c>
      <c r="N498" s="338"/>
      <c r="O498" s="338" t="s">
        <v>409</v>
      </c>
      <c r="P498" s="338"/>
    </row>
    <row r="499" spans="2:16" x14ac:dyDescent="0.25">
      <c r="B499" s="336" t="s">
        <v>416</v>
      </c>
      <c r="C499" s="337">
        <v>41402</v>
      </c>
      <c r="D499" s="338" t="s">
        <v>6332</v>
      </c>
      <c r="E499" s="338" t="s">
        <v>7836</v>
      </c>
      <c r="F499" s="338"/>
      <c r="G499" s="338">
        <v>108.74</v>
      </c>
      <c r="H499" s="338" t="s">
        <v>780</v>
      </c>
      <c r="I499" s="338" t="s">
        <v>411</v>
      </c>
      <c r="J499" s="339"/>
      <c r="K499" s="339"/>
      <c r="L499" s="339" t="s">
        <v>409</v>
      </c>
      <c r="M499" s="339" t="s">
        <v>409</v>
      </c>
      <c r="N499" s="338"/>
      <c r="O499" s="338" t="s">
        <v>409</v>
      </c>
      <c r="P499" s="338" t="s">
        <v>417</v>
      </c>
    </row>
    <row r="500" spans="2:16" x14ac:dyDescent="0.25">
      <c r="B500" s="336" t="s">
        <v>416</v>
      </c>
      <c r="C500" s="337">
        <v>41401</v>
      </c>
      <c r="D500" s="338" t="s">
        <v>7835</v>
      </c>
      <c r="E500" s="338" t="s">
        <v>5954</v>
      </c>
      <c r="F500" s="338" t="s">
        <v>7834</v>
      </c>
      <c r="G500" s="338" t="s">
        <v>413</v>
      </c>
      <c r="H500" s="338" t="s">
        <v>425</v>
      </c>
      <c r="I500" s="338" t="s">
        <v>411</v>
      </c>
      <c r="J500" s="339"/>
      <c r="K500" s="339"/>
      <c r="L500" s="339"/>
      <c r="M500" s="339"/>
      <c r="N500" s="338"/>
      <c r="O500" s="338" t="s">
        <v>417</v>
      </c>
      <c r="P500" s="338" t="s">
        <v>417</v>
      </c>
    </row>
    <row r="501" spans="2:16" x14ac:dyDescent="0.25">
      <c r="B501" s="336" t="s">
        <v>416</v>
      </c>
      <c r="C501" s="337">
        <v>41401</v>
      </c>
      <c r="D501" s="338" t="s">
        <v>7833</v>
      </c>
      <c r="E501" s="338" t="s">
        <v>5747</v>
      </c>
      <c r="F501" s="338"/>
      <c r="G501" s="338" t="s">
        <v>413</v>
      </c>
      <c r="H501" s="338" t="s">
        <v>412</v>
      </c>
      <c r="I501" s="338" t="s">
        <v>411</v>
      </c>
      <c r="J501" s="339"/>
      <c r="K501" s="339"/>
      <c r="L501" s="339" t="s">
        <v>409</v>
      </c>
      <c r="M501" s="339" t="s">
        <v>409</v>
      </c>
      <c r="N501" s="338" t="s">
        <v>417</v>
      </c>
      <c r="O501" s="338" t="s">
        <v>409</v>
      </c>
      <c r="P501" s="338" t="s">
        <v>417</v>
      </c>
    </row>
    <row r="502" spans="2:16" x14ac:dyDescent="0.25">
      <c r="B502" s="336" t="s">
        <v>416</v>
      </c>
      <c r="C502" s="337">
        <v>41400</v>
      </c>
      <c r="D502" s="338" t="s">
        <v>7832</v>
      </c>
      <c r="E502" s="338" t="s">
        <v>6054</v>
      </c>
      <c r="F502" s="338"/>
      <c r="G502" s="338" t="s">
        <v>413</v>
      </c>
      <c r="H502" s="338" t="s">
        <v>425</v>
      </c>
      <c r="I502" s="338" t="s">
        <v>411</v>
      </c>
      <c r="J502" s="339"/>
      <c r="K502" s="339"/>
      <c r="L502" s="339" t="s">
        <v>409</v>
      </c>
      <c r="M502" s="339" t="s">
        <v>409</v>
      </c>
      <c r="N502" s="338" t="s">
        <v>410</v>
      </c>
      <c r="O502" s="338" t="s">
        <v>409</v>
      </c>
      <c r="P502" s="338" t="s">
        <v>417</v>
      </c>
    </row>
    <row r="503" spans="2:16" x14ac:dyDescent="0.25">
      <c r="B503" s="336" t="s">
        <v>541</v>
      </c>
      <c r="C503" s="337">
        <v>41400</v>
      </c>
      <c r="D503" s="338" t="s">
        <v>7030</v>
      </c>
      <c r="E503" s="338" t="s">
        <v>539</v>
      </c>
      <c r="F503" s="338" t="s">
        <v>656</v>
      </c>
      <c r="G503" s="338">
        <v>1356.71</v>
      </c>
      <c r="H503" s="338"/>
      <c r="I503" s="338" t="s">
        <v>411</v>
      </c>
      <c r="J503" s="339">
        <v>11.5966</v>
      </c>
      <c r="K503" s="339">
        <v>19.6572</v>
      </c>
      <c r="L503" s="339">
        <v>2.5786799999999999</v>
      </c>
      <c r="M503" s="339">
        <v>19.2026</v>
      </c>
      <c r="N503" s="338" t="s">
        <v>408</v>
      </c>
      <c r="O503" s="338" t="s">
        <v>408</v>
      </c>
      <c r="P503" s="338" t="s">
        <v>409</v>
      </c>
    </row>
    <row r="504" spans="2:16" x14ac:dyDescent="0.25">
      <c r="B504" s="336" t="s">
        <v>416</v>
      </c>
      <c r="C504" s="337">
        <v>41397</v>
      </c>
      <c r="D504" s="338" t="s">
        <v>7831</v>
      </c>
      <c r="E504" s="338" t="s">
        <v>7830</v>
      </c>
      <c r="F504" s="338"/>
      <c r="G504" s="338" t="s">
        <v>413</v>
      </c>
      <c r="H504" s="338" t="s">
        <v>425</v>
      </c>
      <c r="I504" s="338" t="s">
        <v>1243</v>
      </c>
      <c r="J504" s="339"/>
      <c r="K504" s="339"/>
      <c r="L504" s="339" t="s">
        <v>409</v>
      </c>
      <c r="M504" s="339" t="s">
        <v>409</v>
      </c>
      <c r="N504" s="338" t="s">
        <v>482</v>
      </c>
      <c r="O504" s="338" t="s">
        <v>409</v>
      </c>
      <c r="P504" s="338" t="s">
        <v>417</v>
      </c>
    </row>
    <row r="505" spans="2:16" x14ac:dyDescent="0.25">
      <c r="B505" s="336" t="s">
        <v>416</v>
      </c>
      <c r="C505" s="337">
        <v>41396</v>
      </c>
      <c r="D505" s="338" t="s">
        <v>7829</v>
      </c>
      <c r="E505" s="338" t="s">
        <v>7083</v>
      </c>
      <c r="F505" s="338" t="s">
        <v>2987</v>
      </c>
      <c r="G505" s="338" t="s">
        <v>413</v>
      </c>
      <c r="H505" s="338" t="s">
        <v>412</v>
      </c>
      <c r="I505" s="338" t="s">
        <v>1243</v>
      </c>
      <c r="J505" s="339"/>
      <c r="K505" s="339"/>
      <c r="L505" s="339"/>
      <c r="M505" s="339"/>
      <c r="N505" s="338" t="s">
        <v>417</v>
      </c>
      <c r="O505" s="338" t="s">
        <v>417</v>
      </c>
      <c r="P505" s="338" t="s">
        <v>417</v>
      </c>
    </row>
    <row r="506" spans="2:16" x14ac:dyDescent="0.25">
      <c r="B506" s="336" t="s">
        <v>416</v>
      </c>
      <c r="C506" s="337">
        <v>41396</v>
      </c>
      <c r="D506" s="338" t="s">
        <v>7828</v>
      </c>
      <c r="E506" s="338" t="s">
        <v>7711</v>
      </c>
      <c r="F506" s="338" t="s">
        <v>7827</v>
      </c>
      <c r="G506" s="338" t="s">
        <v>413</v>
      </c>
      <c r="H506" s="338" t="s">
        <v>425</v>
      </c>
      <c r="I506" s="338" t="s">
        <v>411</v>
      </c>
      <c r="J506" s="339"/>
      <c r="K506" s="339"/>
      <c r="L506" s="339"/>
      <c r="M506" s="339"/>
      <c r="N506" s="338"/>
      <c r="O506" s="338" t="s">
        <v>410</v>
      </c>
      <c r="P506" s="338" t="s">
        <v>417</v>
      </c>
    </row>
    <row r="507" spans="2:16" x14ac:dyDescent="0.25">
      <c r="B507" s="336" t="s">
        <v>459</v>
      </c>
      <c r="C507" s="337">
        <v>41395</v>
      </c>
      <c r="D507" s="338" t="s">
        <v>7826</v>
      </c>
      <c r="E507" s="338" t="s">
        <v>7825</v>
      </c>
      <c r="F507" s="338"/>
      <c r="G507" s="338">
        <v>2.4</v>
      </c>
      <c r="H507" s="338" t="s">
        <v>425</v>
      </c>
      <c r="I507" s="338" t="s">
        <v>411</v>
      </c>
      <c r="J507" s="339"/>
      <c r="K507" s="339"/>
      <c r="L507" s="339" t="s">
        <v>409</v>
      </c>
      <c r="M507" s="339" t="s">
        <v>409</v>
      </c>
      <c r="N507" s="338" t="s">
        <v>612</v>
      </c>
      <c r="O507" s="338" t="s">
        <v>409</v>
      </c>
      <c r="P507" s="338"/>
    </row>
    <row r="508" spans="2:16" x14ac:dyDescent="0.25">
      <c r="B508" s="336" t="s">
        <v>416</v>
      </c>
      <c r="C508" s="337">
        <v>41395</v>
      </c>
      <c r="D508" s="338" t="s">
        <v>7824</v>
      </c>
      <c r="E508" s="338" t="s">
        <v>5476</v>
      </c>
      <c r="F508" s="338"/>
      <c r="G508" s="338">
        <v>33</v>
      </c>
      <c r="H508" s="338" t="s">
        <v>425</v>
      </c>
      <c r="I508" s="338" t="s">
        <v>411</v>
      </c>
      <c r="J508" s="339"/>
      <c r="K508" s="339"/>
      <c r="L508" s="339" t="s">
        <v>409</v>
      </c>
      <c r="M508" s="339" t="s">
        <v>409</v>
      </c>
      <c r="N508" s="338" t="s">
        <v>432</v>
      </c>
      <c r="O508" s="338" t="s">
        <v>409</v>
      </c>
      <c r="P508" s="338" t="s">
        <v>417</v>
      </c>
    </row>
    <row r="509" spans="2:16" x14ac:dyDescent="0.25">
      <c r="B509" s="336" t="s">
        <v>416</v>
      </c>
      <c r="C509" s="337">
        <v>41395</v>
      </c>
      <c r="D509" s="338" t="s">
        <v>7823</v>
      </c>
      <c r="E509" s="338" t="s">
        <v>7822</v>
      </c>
      <c r="F509" s="338" t="s">
        <v>7821</v>
      </c>
      <c r="G509" s="338" t="s">
        <v>413</v>
      </c>
      <c r="H509" s="338" t="s">
        <v>425</v>
      </c>
      <c r="I509" s="338" t="s">
        <v>1243</v>
      </c>
      <c r="J509" s="339"/>
      <c r="K509" s="339"/>
      <c r="L509" s="339">
        <v>3.0673499999999998</v>
      </c>
      <c r="M509" s="339">
        <v>11.782</v>
      </c>
      <c r="N509" s="338"/>
      <c r="O509" s="338" t="s">
        <v>487</v>
      </c>
      <c r="P509" s="338" t="s">
        <v>417</v>
      </c>
    </row>
    <row r="510" spans="2:16" x14ac:dyDescent="0.25">
      <c r="B510" s="336" t="s">
        <v>416</v>
      </c>
      <c r="C510" s="337">
        <v>41394</v>
      </c>
      <c r="D510" s="338" t="s">
        <v>7820</v>
      </c>
      <c r="E510" s="338" t="s">
        <v>7819</v>
      </c>
      <c r="F510" s="338"/>
      <c r="G510" s="338" t="s">
        <v>413</v>
      </c>
      <c r="H510" s="338" t="s">
        <v>412</v>
      </c>
      <c r="I510" s="338" t="s">
        <v>411</v>
      </c>
      <c r="J510" s="339"/>
      <c r="K510" s="339"/>
      <c r="L510" s="339" t="s">
        <v>409</v>
      </c>
      <c r="M510" s="339" t="s">
        <v>409</v>
      </c>
      <c r="N510" s="338" t="s">
        <v>417</v>
      </c>
      <c r="O510" s="338" t="s">
        <v>409</v>
      </c>
      <c r="P510" s="338" t="s">
        <v>417</v>
      </c>
    </row>
    <row r="511" spans="2:16" x14ac:dyDescent="0.25">
      <c r="B511" s="336" t="s">
        <v>416</v>
      </c>
      <c r="C511" s="337">
        <v>41394</v>
      </c>
      <c r="D511" s="338" t="s">
        <v>7818</v>
      </c>
      <c r="E511" s="338" t="s">
        <v>6647</v>
      </c>
      <c r="F511" s="338" t="s">
        <v>1812</v>
      </c>
      <c r="G511" s="338">
        <v>731.93</v>
      </c>
      <c r="H511" s="338" t="s">
        <v>429</v>
      </c>
      <c r="I511" s="338" t="s">
        <v>411</v>
      </c>
      <c r="J511" s="339"/>
      <c r="K511" s="339"/>
      <c r="L511" s="339">
        <v>0.162331</v>
      </c>
      <c r="M511" s="339">
        <v>3.4231199999999999</v>
      </c>
      <c r="N511" s="338" t="s">
        <v>417</v>
      </c>
      <c r="O511" s="338" t="s">
        <v>417</v>
      </c>
      <c r="P511" s="338" t="s">
        <v>417</v>
      </c>
    </row>
    <row r="512" spans="2:16" x14ac:dyDescent="0.25">
      <c r="B512" s="336" t="s">
        <v>416</v>
      </c>
      <c r="C512" s="337">
        <v>41394</v>
      </c>
      <c r="D512" s="338" t="s">
        <v>956</v>
      </c>
      <c r="E512" s="338" t="s">
        <v>7817</v>
      </c>
      <c r="F512" s="338" t="s">
        <v>7816</v>
      </c>
      <c r="G512" s="338" t="s">
        <v>413</v>
      </c>
      <c r="H512" s="338" t="s">
        <v>425</v>
      </c>
      <c r="I512" s="338" t="s">
        <v>411</v>
      </c>
      <c r="J512" s="339"/>
      <c r="K512" s="339"/>
      <c r="L512" s="339"/>
      <c r="M512" s="339"/>
      <c r="N512" s="338"/>
      <c r="O512" s="338" t="s">
        <v>417</v>
      </c>
      <c r="P512" s="338" t="s">
        <v>410</v>
      </c>
    </row>
    <row r="513" spans="2:16" x14ac:dyDescent="0.25">
      <c r="B513" s="336" t="s">
        <v>416</v>
      </c>
      <c r="C513" s="337">
        <v>41394</v>
      </c>
      <c r="D513" s="338" t="s">
        <v>7815</v>
      </c>
      <c r="E513" s="338" t="s">
        <v>3550</v>
      </c>
      <c r="F513" s="338"/>
      <c r="G513" s="338" t="s">
        <v>413</v>
      </c>
      <c r="H513" s="338" t="s">
        <v>412</v>
      </c>
      <c r="I513" s="338" t="s">
        <v>1243</v>
      </c>
      <c r="J513" s="339"/>
      <c r="K513" s="339"/>
      <c r="L513" s="339" t="s">
        <v>409</v>
      </c>
      <c r="M513" s="339" t="s">
        <v>409</v>
      </c>
      <c r="N513" s="338" t="s">
        <v>410</v>
      </c>
      <c r="O513" s="338" t="s">
        <v>409</v>
      </c>
      <c r="P513" s="338" t="s">
        <v>417</v>
      </c>
    </row>
    <row r="514" spans="2:16" x14ac:dyDescent="0.25">
      <c r="B514" s="336" t="s">
        <v>416</v>
      </c>
      <c r="C514" s="337">
        <v>41393</v>
      </c>
      <c r="D514" s="338" t="s">
        <v>7814</v>
      </c>
      <c r="E514" s="338" t="s">
        <v>7813</v>
      </c>
      <c r="F514" s="338" t="s">
        <v>7812</v>
      </c>
      <c r="G514" s="338" t="s">
        <v>413</v>
      </c>
      <c r="H514" s="338" t="s">
        <v>412</v>
      </c>
      <c r="I514" s="338" t="s">
        <v>411</v>
      </c>
      <c r="J514" s="339"/>
      <c r="K514" s="339"/>
      <c r="L514" s="339">
        <v>2.1535799999999998</v>
      </c>
      <c r="M514" s="339">
        <v>8.1853300000000004</v>
      </c>
      <c r="N514" s="338" t="s">
        <v>417</v>
      </c>
      <c r="O514" s="338" t="s">
        <v>432</v>
      </c>
      <c r="P514" s="338" t="s">
        <v>417</v>
      </c>
    </row>
    <row r="515" spans="2:16" x14ac:dyDescent="0.25">
      <c r="B515" s="336" t="s">
        <v>459</v>
      </c>
      <c r="C515" s="337">
        <v>41393</v>
      </c>
      <c r="D515" s="338" t="s">
        <v>3922</v>
      </c>
      <c r="E515" s="338" t="s">
        <v>7811</v>
      </c>
      <c r="F515" s="338"/>
      <c r="G515" s="338">
        <v>10.25</v>
      </c>
      <c r="H515" s="338" t="s">
        <v>425</v>
      </c>
      <c r="I515" s="338" t="s">
        <v>411</v>
      </c>
      <c r="J515" s="339"/>
      <c r="K515" s="339"/>
      <c r="L515" s="339" t="s">
        <v>409</v>
      </c>
      <c r="M515" s="339" t="s">
        <v>409</v>
      </c>
      <c r="N515" s="338" t="s">
        <v>417</v>
      </c>
      <c r="O515" s="338" t="s">
        <v>409</v>
      </c>
      <c r="P515" s="338"/>
    </row>
    <row r="516" spans="2:16" x14ac:dyDescent="0.25">
      <c r="B516" s="336" t="s">
        <v>416</v>
      </c>
      <c r="C516" s="337">
        <v>41393</v>
      </c>
      <c r="D516" s="338" t="s">
        <v>7810</v>
      </c>
      <c r="E516" s="338" t="s">
        <v>7666</v>
      </c>
      <c r="F516" s="338"/>
      <c r="G516" s="338" t="s">
        <v>413</v>
      </c>
      <c r="H516" s="338" t="s">
        <v>425</v>
      </c>
      <c r="I516" s="338" t="s">
        <v>1243</v>
      </c>
      <c r="J516" s="339"/>
      <c r="K516" s="339"/>
      <c r="L516" s="339" t="s">
        <v>409</v>
      </c>
      <c r="M516" s="339" t="s">
        <v>409</v>
      </c>
      <c r="N516" s="338"/>
      <c r="O516" s="338" t="s">
        <v>409</v>
      </c>
      <c r="P516" s="338" t="s">
        <v>432</v>
      </c>
    </row>
    <row r="517" spans="2:16" x14ac:dyDescent="0.25">
      <c r="B517" s="336" t="s">
        <v>416</v>
      </c>
      <c r="C517" s="337">
        <v>41393</v>
      </c>
      <c r="D517" s="338" t="s">
        <v>7809</v>
      </c>
      <c r="E517" s="338" t="s">
        <v>7808</v>
      </c>
      <c r="F517" s="338"/>
      <c r="G517" s="338" t="s">
        <v>413</v>
      </c>
      <c r="H517" s="338" t="s">
        <v>425</v>
      </c>
      <c r="I517" s="338" t="s">
        <v>411</v>
      </c>
      <c r="J517" s="339"/>
      <c r="K517" s="339"/>
      <c r="L517" s="339" t="s">
        <v>409</v>
      </c>
      <c r="M517" s="339" t="s">
        <v>409</v>
      </c>
      <c r="N517" s="338" t="s">
        <v>417</v>
      </c>
      <c r="O517" s="338" t="s">
        <v>409</v>
      </c>
      <c r="P517" s="338" t="s">
        <v>417</v>
      </c>
    </row>
    <row r="518" spans="2:16" x14ac:dyDescent="0.25">
      <c r="B518" s="336" t="s">
        <v>459</v>
      </c>
      <c r="C518" s="337">
        <v>41393</v>
      </c>
      <c r="D518" s="338" t="s">
        <v>7807</v>
      </c>
      <c r="E518" s="338" t="s">
        <v>7806</v>
      </c>
      <c r="F518" s="338"/>
      <c r="G518" s="338">
        <v>4</v>
      </c>
      <c r="H518" s="338" t="s">
        <v>425</v>
      </c>
      <c r="I518" s="338" t="s">
        <v>411</v>
      </c>
      <c r="J518" s="339"/>
      <c r="K518" s="339"/>
      <c r="L518" s="339" t="s">
        <v>409</v>
      </c>
      <c r="M518" s="339" t="s">
        <v>409</v>
      </c>
      <c r="N518" s="338" t="s">
        <v>410</v>
      </c>
      <c r="O518" s="338" t="s">
        <v>409</v>
      </c>
      <c r="P518" s="338"/>
    </row>
    <row r="519" spans="2:16" x14ac:dyDescent="0.25">
      <c r="B519" s="336" t="s">
        <v>459</v>
      </c>
      <c r="C519" s="337">
        <v>41393</v>
      </c>
      <c r="D519" s="338" t="s">
        <v>7805</v>
      </c>
      <c r="E519" s="338" t="s">
        <v>7383</v>
      </c>
      <c r="F519" s="338"/>
      <c r="G519" s="338">
        <v>4</v>
      </c>
      <c r="H519" s="338" t="s">
        <v>425</v>
      </c>
      <c r="I519" s="338" t="s">
        <v>411</v>
      </c>
      <c r="J519" s="339"/>
      <c r="K519" s="339"/>
      <c r="L519" s="339" t="s">
        <v>409</v>
      </c>
      <c r="M519" s="339" t="s">
        <v>409</v>
      </c>
      <c r="N519" s="338" t="s">
        <v>417</v>
      </c>
      <c r="O519" s="338" t="s">
        <v>409</v>
      </c>
      <c r="P519" s="338"/>
    </row>
    <row r="520" spans="2:16" x14ac:dyDescent="0.25">
      <c r="B520" s="336" t="s">
        <v>1441</v>
      </c>
      <c r="C520" s="337">
        <v>41393</v>
      </c>
      <c r="D520" s="338" t="s">
        <v>7804</v>
      </c>
      <c r="E520" s="338" t="s">
        <v>7803</v>
      </c>
      <c r="F520" s="338"/>
      <c r="G520" s="338" t="s">
        <v>413</v>
      </c>
      <c r="H520" s="338" t="s">
        <v>412</v>
      </c>
      <c r="I520" s="338" t="s">
        <v>1243</v>
      </c>
      <c r="J520" s="339"/>
      <c r="K520" s="339"/>
      <c r="L520" s="339" t="s">
        <v>409</v>
      </c>
      <c r="M520" s="339" t="s">
        <v>409</v>
      </c>
      <c r="N520" s="338" t="s">
        <v>443</v>
      </c>
      <c r="O520" s="338" t="s">
        <v>409</v>
      </c>
      <c r="P520" s="338" t="s">
        <v>417</v>
      </c>
    </row>
    <row r="521" spans="2:16" x14ac:dyDescent="0.25">
      <c r="B521" s="336" t="s">
        <v>459</v>
      </c>
      <c r="C521" s="337">
        <v>41389</v>
      </c>
      <c r="D521" s="338" t="s">
        <v>7802</v>
      </c>
      <c r="E521" s="338" t="s">
        <v>804</v>
      </c>
      <c r="F521" s="338"/>
      <c r="G521" s="338" t="s">
        <v>413</v>
      </c>
      <c r="H521" s="338" t="s">
        <v>425</v>
      </c>
      <c r="I521" s="338" t="s">
        <v>411</v>
      </c>
      <c r="J521" s="339"/>
      <c r="K521" s="339"/>
      <c r="L521" s="339" t="s">
        <v>409</v>
      </c>
      <c r="M521" s="339" t="s">
        <v>409</v>
      </c>
      <c r="N521" s="338" t="s">
        <v>417</v>
      </c>
      <c r="O521" s="338" t="s">
        <v>409</v>
      </c>
      <c r="P521" s="338" t="s">
        <v>443</v>
      </c>
    </row>
    <row r="522" spans="2:16" x14ac:dyDescent="0.25">
      <c r="B522" s="336" t="s">
        <v>459</v>
      </c>
      <c r="C522" s="337">
        <v>41388</v>
      </c>
      <c r="D522" s="338" t="s">
        <v>7801</v>
      </c>
      <c r="E522" s="338" t="s">
        <v>2861</v>
      </c>
      <c r="F522" s="338"/>
      <c r="G522" s="338" t="s">
        <v>413</v>
      </c>
      <c r="H522" s="338" t="s">
        <v>412</v>
      </c>
      <c r="I522" s="338" t="s">
        <v>411</v>
      </c>
      <c r="J522" s="339"/>
      <c r="K522" s="339"/>
      <c r="L522" s="339" t="s">
        <v>409</v>
      </c>
      <c r="M522" s="339" t="s">
        <v>409</v>
      </c>
      <c r="N522" s="338" t="s">
        <v>417</v>
      </c>
      <c r="O522" s="338" t="s">
        <v>409</v>
      </c>
      <c r="P522" s="338" t="s">
        <v>417</v>
      </c>
    </row>
    <row r="523" spans="2:16" x14ac:dyDescent="0.25">
      <c r="B523" s="336" t="s">
        <v>416</v>
      </c>
      <c r="C523" s="337">
        <v>41388</v>
      </c>
      <c r="D523" s="338" t="s">
        <v>7800</v>
      </c>
      <c r="E523" s="338" t="s">
        <v>761</v>
      </c>
      <c r="F523" s="338"/>
      <c r="G523" s="338" t="s">
        <v>413</v>
      </c>
      <c r="H523" s="338" t="s">
        <v>412</v>
      </c>
      <c r="I523" s="338" t="s">
        <v>411</v>
      </c>
      <c r="J523" s="339"/>
      <c r="K523" s="339"/>
      <c r="L523" s="339" t="s">
        <v>409</v>
      </c>
      <c r="M523" s="339" t="s">
        <v>409</v>
      </c>
      <c r="N523" s="338" t="s">
        <v>417</v>
      </c>
      <c r="O523" s="338" t="s">
        <v>409</v>
      </c>
      <c r="P523" s="338" t="s">
        <v>417</v>
      </c>
    </row>
    <row r="524" spans="2:16" x14ac:dyDescent="0.25">
      <c r="B524" s="336" t="s">
        <v>416</v>
      </c>
      <c r="C524" s="337">
        <v>41386</v>
      </c>
      <c r="D524" s="338" t="s">
        <v>7799</v>
      </c>
      <c r="E524" s="338" t="s">
        <v>7798</v>
      </c>
      <c r="F524" s="338" t="s">
        <v>7797</v>
      </c>
      <c r="G524" s="338" t="s">
        <v>413</v>
      </c>
      <c r="H524" s="338" t="s">
        <v>412</v>
      </c>
      <c r="I524" s="338" t="s">
        <v>411</v>
      </c>
      <c r="J524" s="339"/>
      <c r="K524" s="339"/>
      <c r="L524" s="339">
        <v>8.9789999999999992</v>
      </c>
      <c r="M524" s="339">
        <v>17.5045</v>
      </c>
      <c r="N524" s="338" t="s">
        <v>417</v>
      </c>
      <c r="O524" s="338" t="s">
        <v>417</v>
      </c>
      <c r="P524" s="338" t="s">
        <v>443</v>
      </c>
    </row>
    <row r="525" spans="2:16" x14ac:dyDescent="0.25">
      <c r="B525" s="336" t="s">
        <v>416</v>
      </c>
      <c r="C525" s="337">
        <v>41382</v>
      </c>
      <c r="D525" s="338" t="s">
        <v>692</v>
      </c>
      <c r="E525" s="338" t="s">
        <v>7796</v>
      </c>
      <c r="F525" s="338"/>
      <c r="G525" s="338" t="s">
        <v>413</v>
      </c>
      <c r="H525" s="338" t="s">
        <v>696</v>
      </c>
      <c r="I525" s="338" t="s">
        <v>411</v>
      </c>
      <c r="J525" s="339"/>
      <c r="K525" s="339"/>
      <c r="L525" s="339" t="s">
        <v>409</v>
      </c>
      <c r="M525" s="339" t="s">
        <v>409</v>
      </c>
      <c r="N525" s="338"/>
      <c r="O525" s="338" t="s">
        <v>409</v>
      </c>
      <c r="P525" s="338" t="s">
        <v>443</v>
      </c>
    </row>
    <row r="526" spans="2:16" x14ac:dyDescent="0.25">
      <c r="B526" s="336" t="s">
        <v>459</v>
      </c>
      <c r="C526" s="337">
        <v>41382</v>
      </c>
      <c r="D526" s="338" t="s">
        <v>4989</v>
      </c>
      <c r="E526" s="338" t="s">
        <v>514</v>
      </c>
      <c r="F526" s="338"/>
      <c r="G526" s="338" t="s">
        <v>413</v>
      </c>
      <c r="H526" s="338" t="s">
        <v>425</v>
      </c>
      <c r="I526" s="338" t="s">
        <v>411</v>
      </c>
      <c r="J526" s="339"/>
      <c r="K526" s="339"/>
      <c r="L526" s="339" t="s">
        <v>409</v>
      </c>
      <c r="M526" s="339" t="s">
        <v>409</v>
      </c>
      <c r="N526" s="338" t="s">
        <v>417</v>
      </c>
      <c r="O526" s="338" t="s">
        <v>409</v>
      </c>
      <c r="P526" s="338"/>
    </row>
    <row r="527" spans="2:16" x14ac:dyDescent="0.25">
      <c r="B527" s="336" t="s">
        <v>416</v>
      </c>
      <c r="C527" s="337">
        <v>41380</v>
      </c>
      <c r="D527" s="338" t="s">
        <v>7795</v>
      </c>
      <c r="E527" s="338" t="s">
        <v>7794</v>
      </c>
      <c r="F527" s="338"/>
      <c r="G527" s="338" t="s">
        <v>413</v>
      </c>
      <c r="H527" s="338" t="s">
        <v>425</v>
      </c>
      <c r="I527" s="338" t="s">
        <v>411</v>
      </c>
      <c r="J527" s="339"/>
      <c r="K527" s="339"/>
      <c r="L527" s="339" t="s">
        <v>409</v>
      </c>
      <c r="M527" s="339" t="s">
        <v>409</v>
      </c>
      <c r="N527" s="338"/>
      <c r="O527" s="338" t="s">
        <v>409</v>
      </c>
      <c r="P527" s="338" t="s">
        <v>443</v>
      </c>
    </row>
    <row r="528" spans="2:16" x14ac:dyDescent="0.25">
      <c r="B528" s="336" t="s">
        <v>459</v>
      </c>
      <c r="C528" s="337">
        <v>41380</v>
      </c>
      <c r="D528" s="338" t="s">
        <v>7793</v>
      </c>
      <c r="E528" s="338" t="s">
        <v>7792</v>
      </c>
      <c r="F528" s="338"/>
      <c r="G528" s="338" t="s">
        <v>413</v>
      </c>
      <c r="H528" s="338" t="s">
        <v>412</v>
      </c>
      <c r="I528" s="338" t="s">
        <v>411</v>
      </c>
      <c r="J528" s="339"/>
      <c r="K528" s="339"/>
      <c r="L528" s="339" t="s">
        <v>409</v>
      </c>
      <c r="M528" s="339" t="s">
        <v>409</v>
      </c>
      <c r="N528" s="338" t="s">
        <v>432</v>
      </c>
      <c r="O528" s="338" t="s">
        <v>409</v>
      </c>
      <c r="P528" s="338"/>
    </row>
    <row r="529" spans="2:16" x14ac:dyDescent="0.25">
      <c r="B529" s="336" t="s">
        <v>416</v>
      </c>
      <c r="C529" s="337">
        <v>41375</v>
      </c>
      <c r="D529" s="338" t="s">
        <v>7791</v>
      </c>
      <c r="E529" s="338" t="s">
        <v>6804</v>
      </c>
      <c r="F529" s="338"/>
      <c r="G529" s="338" t="s">
        <v>413</v>
      </c>
      <c r="H529" s="338" t="s">
        <v>412</v>
      </c>
      <c r="I529" s="338" t="s">
        <v>411</v>
      </c>
      <c r="J529" s="339"/>
      <c r="K529" s="339"/>
      <c r="L529" s="339" t="s">
        <v>409</v>
      </c>
      <c r="M529" s="339" t="s">
        <v>409</v>
      </c>
      <c r="N529" s="338" t="s">
        <v>417</v>
      </c>
      <c r="O529" s="338" t="s">
        <v>409</v>
      </c>
      <c r="P529" s="338" t="s">
        <v>410</v>
      </c>
    </row>
    <row r="530" spans="2:16" x14ac:dyDescent="0.25">
      <c r="B530" s="336" t="s">
        <v>416</v>
      </c>
      <c r="C530" s="337">
        <v>41375</v>
      </c>
      <c r="D530" s="338" t="s">
        <v>7790</v>
      </c>
      <c r="E530" s="338" t="s">
        <v>1363</v>
      </c>
      <c r="F530" s="338" t="s">
        <v>7789</v>
      </c>
      <c r="G530" s="338" t="s">
        <v>413</v>
      </c>
      <c r="H530" s="338" t="s">
        <v>425</v>
      </c>
      <c r="I530" s="338" t="s">
        <v>411</v>
      </c>
      <c r="J530" s="339"/>
      <c r="K530" s="339"/>
      <c r="L530" s="339"/>
      <c r="M530" s="339"/>
      <c r="N530" s="338"/>
      <c r="O530" s="338" t="s">
        <v>410</v>
      </c>
      <c r="P530" s="338" t="s">
        <v>417</v>
      </c>
    </row>
    <row r="531" spans="2:16" x14ac:dyDescent="0.25">
      <c r="B531" s="336" t="s">
        <v>416</v>
      </c>
      <c r="C531" s="337">
        <v>41375</v>
      </c>
      <c r="D531" s="338" t="s">
        <v>7788</v>
      </c>
      <c r="E531" s="338" t="s">
        <v>6266</v>
      </c>
      <c r="F531" s="338"/>
      <c r="G531" s="338" t="s">
        <v>413</v>
      </c>
      <c r="H531" s="338" t="s">
        <v>412</v>
      </c>
      <c r="I531" s="338" t="s">
        <v>411</v>
      </c>
      <c r="J531" s="339"/>
      <c r="K531" s="339"/>
      <c r="L531" s="339" t="s">
        <v>409</v>
      </c>
      <c r="M531" s="339" t="s">
        <v>409</v>
      </c>
      <c r="N531" s="338"/>
      <c r="O531" s="338" t="s">
        <v>409</v>
      </c>
      <c r="P531" s="338" t="s">
        <v>443</v>
      </c>
    </row>
    <row r="532" spans="2:16" x14ac:dyDescent="0.25">
      <c r="B532" s="336" t="s">
        <v>459</v>
      </c>
      <c r="C532" s="337">
        <v>41375</v>
      </c>
      <c r="D532" s="338" t="s">
        <v>7787</v>
      </c>
      <c r="E532" s="338" t="s">
        <v>514</v>
      </c>
      <c r="F532" s="338"/>
      <c r="G532" s="338" t="s">
        <v>413</v>
      </c>
      <c r="H532" s="338" t="s">
        <v>412</v>
      </c>
      <c r="I532" s="338" t="s">
        <v>411</v>
      </c>
      <c r="J532" s="339"/>
      <c r="K532" s="339"/>
      <c r="L532" s="339" t="s">
        <v>409</v>
      </c>
      <c r="M532" s="339" t="s">
        <v>409</v>
      </c>
      <c r="N532" s="338" t="s">
        <v>612</v>
      </c>
      <c r="O532" s="338" t="s">
        <v>409</v>
      </c>
      <c r="P532" s="338"/>
    </row>
    <row r="533" spans="2:16" x14ac:dyDescent="0.25">
      <c r="B533" s="336" t="s">
        <v>416</v>
      </c>
      <c r="C533" s="337">
        <v>41374</v>
      </c>
      <c r="D533" s="338" t="s">
        <v>7786</v>
      </c>
      <c r="E533" s="338" t="s">
        <v>7785</v>
      </c>
      <c r="F533" s="338" t="s">
        <v>2688</v>
      </c>
      <c r="G533" s="338">
        <v>18</v>
      </c>
      <c r="H533" s="338" t="s">
        <v>425</v>
      </c>
      <c r="I533" s="338" t="s">
        <v>411</v>
      </c>
      <c r="J533" s="339"/>
      <c r="K533" s="339"/>
      <c r="L533" s="339">
        <v>1.61832</v>
      </c>
      <c r="M533" s="339">
        <v>15.4156</v>
      </c>
      <c r="N533" s="338"/>
      <c r="O533" s="338" t="s">
        <v>417</v>
      </c>
      <c r="P533" s="338" t="s">
        <v>417</v>
      </c>
    </row>
    <row r="534" spans="2:16" x14ac:dyDescent="0.25">
      <c r="B534" s="336" t="s">
        <v>416</v>
      </c>
      <c r="C534" s="337">
        <v>41374</v>
      </c>
      <c r="D534" s="338" t="s">
        <v>7784</v>
      </c>
      <c r="E534" s="338" t="s">
        <v>7783</v>
      </c>
      <c r="F534" s="338"/>
      <c r="G534" s="338" t="s">
        <v>413</v>
      </c>
      <c r="H534" s="338" t="s">
        <v>412</v>
      </c>
      <c r="I534" s="338" t="s">
        <v>411</v>
      </c>
      <c r="J534" s="339"/>
      <c r="K534" s="339"/>
      <c r="L534" s="339" t="s">
        <v>409</v>
      </c>
      <c r="M534" s="339" t="s">
        <v>409</v>
      </c>
      <c r="N534" s="338" t="s">
        <v>417</v>
      </c>
      <c r="O534" s="338" t="s">
        <v>409</v>
      </c>
      <c r="P534" s="338" t="s">
        <v>410</v>
      </c>
    </row>
    <row r="535" spans="2:16" x14ac:dyDescent="0.25">
      <c r="B535" s="336" t="s">
        <v>416</v>
      </c>
      <c r="C535" s="337">
        <v>41374</v>
      </c>
      <c r="D535" s="338" t="s">
        <v>7782</v>
      </c>
      <c r="E535" s="338" t="s">
        <v>5082</v>
      </c>
      <c r="F535" s="338"/>
      <c r="G535" s="338" t="s">
        <v>413</v>
      </c>
      <c r="H535" s="338" t="s">
        <v>425</v>
      </c>
      <c r="I535" s="338" t="s">
        <v>1243</v>
      </c>
      <c r="J535" s="339"/>
      <c r="K535" s="339"/>
      <c r="L535" s="339" t="s">
        <v>409</v>
      </c>
      <c r="M535" s="339" t="s">
        <v>409</v>
      </c>
      <c r="N535" s="338" t="s">
        <v>417</v>
      </c>
      <c r="O535" s="338" t="s">
        <v>409</v>
      </c>
      <c r="P535" s="338" t="s">
        <v>410</v>
      </c>
    </row>
    <row r="536" spans="2:16" x14ac:dyDescent="0.25">
      <c r="B536" s="336" t="s">
        <v>416</v>
      </c>
      <c r="C536" s="337">
        <v>41373</v>
      </c>
      <c r="D536" s="338" t="s">
        <v>956</v>
      </c>
      <c r="E536" s="338" t="s">
        <v>1572</v>
      </c>
      <c r="F536" s="338"/>
      <c r="G536" s="338">
        <v>2.7</v>
      </c>
      <c r="H536" s="338" t="s">
        <v>425</v>
      </c>
      <c r="I536" s="338" t="s">
        <v>411</v>
      </c>
      <c r="J536" s="339"/>
      <c r="K536" s="339"/>
      <c r="L536" s="339" t="s">
        <v>409</v>
      </c>
      <c r="M536" s="339" t="s">
        <v>409</v>
      </c>
      <c r="N536" s="338"/>
      <c r="O536" s="338" t="s">
        <v>409</v>
      </c>
      <c r="P536" s="338" t="s">
        <v>417</v>
      </c>
    </row>
    <row r="537" spans="2:16" x14ac:dyDescent="0.25">
      <c r="B537" s="336" t="s">
        <v>416</v>
      </c>
      <c r="C537" s="337">
        <v>41373</v>
      </c>
      <c r="D537" s="338" t="s">
        <v>7781</v>
      </c>
      <c r="E537" s="338" t="s">
        <v>7780</v>
      </c>
      <c r="F537" s="338" t="s">
        <v>7779</v>
      </c>
      <c r="G537" s="338" t="s">
        <v>413</v>
      </c>
      <c r="H537" s="338" t="s">
        <v>425</v>
      </c>
      <c r="I537" s="338" t="s">
        <v>411</v>
      </c>
      <c r="J537" s="339"/>
      <c r="K537" s="339"/>
      <c r="L537" s="339"/>
      <c r="M537" s="339"/>
      <c r="N537" s="338" t="s">
        <v>487</v>
      </c>
      <c r="O537" s="338" t="s">
        <v>417</v>
      </c>
      <c r="P537" s="338" t="s">
        <v>605</v>
      </c>
    </row>
    <row r="538" spans="2:16" x14ac:dyDescent="0.25">
      <c r="B538" s="336" t="s">
        <v>416</v>
      </c>
      <c r="C538" s="337">
        <v>41373</v>
      </c>
      <c r="D538" s="338" t="s">
        <v>7778</v>
      </c>
      <c r="E538" s="338" t="s">
        <v>7777</v>
      </c>
      <c r="F538" s="338" t="s">
        <v>5103</v>
      </c>
      <c r="G538" s="338" t="s">
        <v>413</v>
      </c>
      <c r="H538" s="338" t="s">
        <v>425</v>
      </c>
      <c r="I538" s="338" t="s">
        <v>411</v>
      </c>
      <c r="J538" s="339"/>
      <c r="K538" s="339"/>
      <c r="L538" s="339"/>
      <c r="M538" s="339"/>
      <c r="N538" s="338"/>
      <c r="O538" s="338" t="s">
        <v>417</v>
      </c>
      <c r="P538" s="338" t="s">
        <v>432</v>
      </c>
    </row>
    <row r="539" spans="2:16" x14ac:dyDescent="0.25">
      <c r="B539" s="336" t="s">
        <v>416</v>
      </c>
      <c r="C539" s="337">
        <v>41372</v>
      </c>
      <c r="D539" s="338" t="s">
        <v>7776</v>
      </c>
      <c r="E539" s="338" t="s">
        <v>7775</v>
      </c>
      <c r="F539" s="338" t="s">
        <v>7774</v>
      </c>
      <c r="G539" s="338">
        <v>30</v>
      </c>
      <c r="H539" s="338" t="s">
        <v>425</v>
      </c>
      <c r="I539" s="338" t="s">
        <v>411</v>
      </c>
      <c r="J539" s="339"/>
      <c r="K539" s="339"/>
      <c r="L539" s="339"/>
      <c r="M539" s="339"/>
      <c r="N539" s="338"/>
      <c r="O539" s="338" t="s">
        <v>417</v>
      </c>
      <c r="P539" s="338" t="s">
        <v>417</v>
      </c>
    </row>
    <row r="540" spans="2:16" x14ac:dyDescent="0.25">
      <c r="B540" s="336" t="s">
        <v>416</v>
      </c>
      <c r="C540" s="337">
        <v>41369</v>
      </c>
      <c r="D540" s="338" t="s">
        <v>7773</v>
      </c>
      <c r="E540" s="338" t="s">
        <v>7772</v>
      </c>
      <c r="F540" s="338" t="s">
        <v>7771</v>
      </c>
      <c r="G540" s="338" t="s">
        <v>413</v>
      </c>
      <c r="H540" s="338" t="s">
        <v>425</v>
      </c>
      <c r="I540" s="338" t="s">
        <v>411</v>
      </c>
      <c r="J540" s="339"/>
      <c r="K540" s="339"/>
      <c r="L540" s="339"/>
      <c r="M540" s="339"/>
      <c r="N540" s="338"/>
      <c r="O540" s="338" t="s">
        <v>417</v>
      </c>
      <c r="P540" s="338" t="s">
        <v>482</v>
      </c>
    </row>
    <row r="541" spans="2:16" x14ac:dyDescent="0.25">
      <c r="B541" s="336" t="s">
        <v>416</v>
      </c>
      <c r="C541" s="337">
        <v>41369</v>
      </c>
      <c r="D541" s="338" t="s">
        <v>7770</v>
      </c>
      <c r="E541" s="338" t="s">
        <v>674</v>
      </c>
      <c r="F541" s="338"/>
      <c r="G541" s="338" t="s">
        <v>413</v>
      </c>
      <c r="H541" s="338" t="s">
        <v>425</v>
      </c>
      <c r="I541" s="338" t="s">
        <v>411</v>
      </c>
      <c r="J541" s="339"/>
      <c r="K541" s="339"/>
      <c r="L541" s="339" t="s">
        <v>409</v>
      </c>
      <c r="M541" s="339" t="s">
        <v>409</v>
      </c>
      <c r="N541" s="338" t="s">
        <v>417</v>
      </c>
      <c r="O541" s="338" t="s">
        <v>409</v>
      </c>
      <c r="P541" s="338" t="s">
        <v>417</v>
      </c>
    </row>
    <row r="542" spans="2:16" x14ac:dyDescent="0.25">
      <c r="B542" s="336" t="s">
        <v>416</v>
      </c>
      <c r="C542" s="337">
        <v>41368</v>
      </c>
      <c r="D542" s="338" t="s">
        <v>7769</v>
      </c>
      <c r="E542" s="338" t="s">
        <v>6824</v>
      </c>
      <c r="F542" s="338" t="s">
        <v>7768</v>
      </c>
      <c r="G542" s="338" t="s">
        <v>413</v>
      </c>
      <c r="H542" s="338" t="s">
        <v>412</v>
      </c>
      <c r="I542" s="338" t="s">
        <v>411</v>
      </c>
      <c r="J542" s="339"/>
      <c r="K542" s="339"/>
      <c r="L542" s="339">
        <v>2.4989699999999999</v>
      </c>
      <c r="M542" s="339">
        <v>5.4347500000000002</v>
      </c>
      <c r="N542" s="338" t="s">
        <v>417</v>
      </c>
      <c r="O542" s="338" t="s">
        <v>432</v>
      </c>
      <c r="P542" s="338" t="s">
        <v>432</v>
      </c>
    </row>
    <row r="543" spans="2:16" x14ac:dyDescent="0.25">
      <c r="B543" s="336" t="s">
        <v>416</v>
      </c>
      <c r="C543" s="337">
        <v>41368</v>
      </c>
      <c r="D543" s="338" t="s">
        <v>7767</v>
      </c>
      <c r="E543" s="338" t="s">
        <v>6063</v>
      </c>
      <c r="F543" s="338"/>
      <c r="G543" s="338" t="s">
        <v>413</v>
      </c>
      <c r="H543" s="338" t="s">
        <v>412</v>
      </c>
      <c r="I543" s="338" t="s">
        <v>411</v>
      </c>
      <c r="J543" s="339"/>
      <c r="K543" s="339"/>
      <c r="L543" s="339" t="s">
        <v>409</v>
      </c>
      <c r="M543" s="339" t="s">
        <v>409</v>
      </c>
      <c r="N543" s="338"/>
      <c r="O543" s="338" t="s">
        <v>409</v>
      </c>
      <c r="P543" s="338" t="s">
        <v>417</v>
      </c>
    </row>
    <row r="544" spans="2:16" x14ac:dyDescent="0.25">
      <c r="B544" s="336" t="s">
        <v>416</v>
      </c>
      <c r="C544" s="337">
        <v>41368</v>
      </c>
      <c r="D544" s="338" t="s">
        <v>7766</v>
      </c>
      <c r="E544" s="338" t="s">
        <v>6054</v>
      </c>
      <c r="F544" s="338" t="s">
        <v>7765</v>
      </c>
      <c r="G544" s="338" t="s">
        <v>413</v>
      </c>
      <c r="H544" s="338" t="s">
        <v>425</v>
      </c>
      <c r="I544" s="338" t="s">
        <v>411</v>
      </c>
      <c r="J544" s="339"/>
      <c r="K544" s="339"/>
      <c r="L544" s="339"/>
      <c r="M544" s="339"/>
      <c r="N544" s="338"/>
      <c r="O544" s="338" t="s">
        <v>410</v>
      </c>
      <c r="P544" s="338" t="s">
        <v>417</v>
      </c>
    </row>
    <row r="545" spans="2:16" x14ac:dyDescent="0.25">
      <c r="B545" s="336" t="s">
        <v>416</v>
      </c>
      <c r="C545" s="337">
        <v>41367</v>
      </c>
      <c r="D545" s="338" t="s">
        <v>7764</v>
      </c>
      <c r="E545" s="338" t="s">
        <v>1322</v>
      </c>
      <c r="F545" s="338" t="s">
        <v>6860</v>
      </c>
      <c r="G545" s="338" t="s">
        <v>413</v>
      </c>
      <c r="H545" s="338" t="s">
        <v>425</v>
      </c>
      <c r="I545" s="338" t="s">
        <v>411</v>
      </c>
      <c r="J545" s="339"/>
      <c r="K545" s="339"/>
      <c r="L545" s="339"/>
      <c r="M545" s="339"/>
      <c r="N545" s="338"/>
      <c r="O545" s="338" t="s">
        <v>408</v>
      </c>
      <c r="P545" s="338" t="s">
        <v>417</v>
      </c>
    </row>
    <row r="546" spans="2:16" x14ac:dyDescent="0.25">
      <c r="B546" s="336" t="s">
        <v>416</v>
      </c>
      <c r="C546" s="337">
        <v>41366</v>
      </c>
      <c r="D546" s="338" t="s">
        <v>7763</v>
      </c>
      <c r="E546" s="338" t="s">
        <v>4295</v>
      </c>
      <c r="F546" s="338" t="s">
        <v>7762</v>
      </c>
      <c r="G546" s="338" t="s">
        <v>413</v>
      </c>
      <c r="H546" s="338" t="s">
        <v>425</v>
      </c>
      <c r="I546" s="338" t="s">
        <v>1243</v>
      </c>
      <c r="J546" s="339"/>
      <c r="K546" s="339"/>
      <c r="L546" s="339"/>
      <c r="M546" s="339"/>
      <c r="N546" s="338"/>
      <c r="O546" s="338" t="s">
        <v>443</v>
      </c>
      <c r="P546" s="338" t="s">
        <v>417</v>
      </c>
    </row>
    <row r="547" spans="2:16" x14ac:dyDescent="0.25">
      <c r="B547" s="336" t="s">
        <v>416</v>
      </c>
      <c r="C547" s="337">
        <v>41366</v>
      </c>
      <c r="D547" s="338" t="s">
        <v>7761</v>
      </c>
      <c r="E547" s="338" t="s">
        <v>7760</v>
      </c>
      <c r="F547" s="338"/>
      <c r="G547" s="338" t="s">
        <v>413</v>
      </c>
      <c r="H547" s="338" t="s">
        <v>412</v>
      </c>
      <c r="I547" s="338" t="s">
        <v>411</v>
      </c>
      <c r="J547" s="339"/>
      <c r="K547" s="339"/>
      <c r="L547" s="339" t="s">
        <v>409</v>
      </c>
      <c r="M547" s="339" t="s">
        <v>409</v>
      </c>
      <c r="N547" s="338" t="s">
        <v>417</v>
      </c>
      <c r="O547" s="338" t="s">
        <v>409</v>
      </c>
      <c r="P547" s="338" t="s">
        <v>443</v>
      </c>
    </row>
    <row r="548" spans="2:16" x14ac:dyDescent="0.25">
      <c r="B548" s="336" t="s">
        <v>459</v>
      </c>
      <c r="C548" s="337">
        <v>41366</v>
      </c>
      <c r="D548" s="338" t="s">
        <v>7759</v>
      </c>
      <c r="E548" s="338" t="s">
        <v>7758</v>
      </c>
      <c r="F548" s="338"/>
      <c r="G548" s="338">
        <v>20</v>
      </c>
      <c r="H548" s="338" t="s">
        <v>425</v>
      </c>
      <c r="I548" s="338" t="s">
        <v>411</v>
      </c>
      <c r="J548" s="339"/>
      <c r="K548" s="339"/>
      <c r="L548" s="339" t="s">
        <v>409</v>
      </c>
      <c r="M548" s="339" t="s">
        <v>409</v>
      </c>
      <c r="N548" s="338" t="s">
        <v>410</v>
      </c>
      <c r="O548" s="338" t="s">
        <v>409</v>
      </c>
      <c r="P548" s="338" t="s">
        <v>417</v>
      </c>
    </row>
    <row r="549" spans="2:16" x14ac:dyDescent="0.25">
      <c r="B549" s="336" t="s">
        <v>416</v>
      </c>
      <c r="C549" s="337">
        <v>41366</v>
      </c>
      <c r="D549" s="338" t="s">
        <v>7757</v>
      </c>
      <c r="E549" s="338" t="s">
        <v>479</v>
      </c>
      <c r="F549" s="338" t="s">
        <v>2991</v>
      </c>
      <c r="G549" s="338" t="s">
        <v>413</v>
      </c>
      <c r="H549" s="338" t="s">
        <v>425</v>
      </c>
      <c r="I549" s="338" t="s">
        <v>411</v>
      </c>
      <c r="J549" s="339"/>
      <c r="K549" s="339"/>
      <c r="L549" s="339"/>
      <c r="M549" s="339"/>
      <c r="N549" s="338" t="s">
        <v>410</v>
      </c>
      <c r="O549" s="338" t="s">
        <v>443</v>
      </c>
      <c r="P549" s="338" t="s">
        <v>443</v>
      </c>
    </row>
    <row r="550" spans="2:16" x14ac:dyDescent="0.25">
      <c r="B550" s="336" t="s">
        <v>459</v>
      </c>
      <c r="C550" s="337">
        <v>41365</v>
      </c>
      <c r="D550" s="338" t="s">
        <v>7756</v>
      </c>
      <c r="E550" s="338" t="s">
        <v>6788</v>
      </c>
      <c r="F550" s="338" t="s">
        <v>6211</v>
      </c>
      <c r="G550" s="338">
        <v>230</v>
      </c>
      <c r="H550" s="338" t="s">
        <v>507</v>
      </c>
      <c r="I550" s="338" t="s">
        <v>1243</v>
      </c>
      <c r="J550" s="339"/>
      <c r="K550" s="339"/>
      <c r="L550" s="339">
        <v>3.9433400000000001</v>
      </c>
      <c r="M550" s="339">
        <v>27.8386</v>
      </c>
      <c r="N550" s="338"/>
      <c r="O550" s="338" t="s">
        <v>417</v>
      </c>
      <c r="P550" s="338" t="s">
        <v>443</v>
      </c>
    </row>
    <row r="551" spans="2:16" x14ac:dyDescent="0.25">
      <c r="B551" s="336" t="s">
        <v>416</v>
      </c>
      <c r="C551" s="337">
        <v>41365</v>
      </c>
      <c r="D551" s="338" t="s">
        <v>7755</v>
      </c>
      <c r="E551" s="338" t="s">
        <v>5947</v>
      </c>
      <c r="F551" s="338"/>
      <c r="G551" s="338" t="s">
        <v>413</v>
      </c>
      <c r="H551" s="338" t="s">
        <v>425</v>
      </c>
      <c r="I551" s="338" t="s">
        <v>411</v>
      </c>
      <c r="J551" s="339"/>
      <c r="K551" s="339"/>
      <c r="L551" s="339" t="s">
        <v>409</v>
      </c>
      <c r="M551" s="339" t="s">
        <v>409</v>
      </c>
      <c r="N551" s="338" t="s">
        <v>417</v>
      </c>
      <c r="O551" s="338" t="s">
        <v>409</v>
      </c>
      <c r="P551" s="338" t="s">
        <v>482</v>
      </c>
    </row>
    <row r="552" spans="2:16" x14ac:dyDescent="0.25">
      <c r="B552" s="336" t="s">
        <v>416</v>
      </c>
      <c r="C552" s="337">
        <v>41362</v>
      </c>
      <c r="D552" s="338" t="s">
        <v>7754</v>
      </c>
      <c r="E552" s="338" t="s">
        <v>436</v>
      </c>
      <c r="F552" s="338"/>
      <c r="G552" s="338">
        <v>160</v>
      </c>
      <c r="H552" s="338" t="s">
        <v>425</v>
      </c>
      <c r="I552" s="338" t="s">
        <v>411</v>
      </c>
      <c r="J552" s="339"/>
      <c r="K552" s="339"/>
      <c r="L552" s="339" t="s">
        <v>409</v>
      </c>
      <c r="M552" s="339" t="s">
        <v>409</v>
      </c>
      <c r="N552" s="338"/>
      <c r="O552" s="338" t="s">
        <v>409</v>
      </c>
      <c r="P552" s="338" t="s">
        <v>417</v>
      </c>
    </row>
    <row r="553" spans="2:16" x14ac:dyDescent="0.25">
      <c r="B553" s="336" t="s">
        <v>416</v>
      </c>
      <c r="C553" s="337">
        <v>41361</v>
      </c>
      <c r="D553" s="338" t="s">
        <v>956</v>
      </c>
      <c r="E553" s="338" t="s">
        <v>669</v>
      </c>
      <c r="F553" s="338" t="s">
        <v>3422</v>
      </c>
      <c r="G553" s="338" t="s">
        <v>413</v>
      </c>
      <c r="H553" s="338" t="s">
        <v>425</v>
      </c>
      <c r="I553" s="338" t="s">
        <v>411</v>
      </c>
      <c r="J553" s="339"/>
      <c r="K553" s="339"/>
      <c r="L553" s="339">
        <v>0.75670800000000005</v>
      </c>
      <c r="M553" s="339">
        <v>2.0253299999999999</v>
      </c>
      <c r="N553" s="338"/>
      <c r="O553" s="338" t="s">
        <v>417</v>
      </c>
      <c r="P553" s="338"/>
    </row>
    <row r="554" spans="2:16" x14ac:dyDescent="0.25">
      <c r="B554" s="336" t="s">
        <v>416</v>
      </c>
      <c r="C554" s="337">
        <v>41360</v>
      </c>
      <c r="D554" s="338" t="s">
        <v>7753</v>
      </c>
      <c r="E554" s="338" t="s">
        <v>6271</v>
      </c>
      <c r="F554" s="338" t="s">
        <v>7752</v>
      </c>
      <c r="G554" s="338">
        <v>46.3</v>
      </c>
      <c r="H554" s="338" t="s">
        <v>425</v>
      </c>
      <c r="I554" s="338" t="s">
        <v>1243</v>
      </c>
      <c r="J554" s="339"/>
      <c r="K554" s="339"/>
      <c r="L554" s="339">
        <v>0.271316</v>
      </c>
      <c r="M554" s="339">
        <v>6.0865499999999999</v>
      </c>
      <c r="N554" s="338"/>
      <c r="O554" s="338" t="s">
        <v>417</v>
      </c>
      <c r="P554" s="338" t="s">
        <v>443</v>
      </c>
    </row>
    <row r="555" spans="2:16" x14ac:dyDescent="0.25">
      <c r="B555" s="336" t="s">
        <v>416</v>
      </c>
      <c r="C555" s="337">
        <v>41360</v>
      </c>
      <c r="D555" s="338" t="s">
        <v>7751</v>
      </c>
      <c r="E555" s="338" t="s">
        <v>2950</v>
      </c>
      <c r="F555" s="338" t="s">
        <v>7750</v>
      </c>
      <c r="G555" s="338" t="s">
        <v>413</v>
      </c>
      <c r="H555" s="338" t="s">
        <v>425</v>
      </c>
      <c r="I555" s="338" t="s">
        <v>411</v>
      </c>
      <c r="J555" s="339"/>
      <c r="K555" s="339"/>
      <c r="L555" s="339"/>
      <c r="M555" s="339"/>
      <c r="N555" s="338" t="s">
        <v>417</v>
      </c>
      <c r="O555" s="338" t="s">
        <v>417</v>
      </c>
      <c r="P555" s="338" t="s">
        <v>443</v>
      </c>
    </row>
    <row r="556" spans="2:16" x14ac:dyDescent="0.25">
      <c r="B556" s="336" t="s">
        <v>416</v>
      </c>
      <c r="C556" s="337">
        <v>41359</v>
      </c>
      <c r="D556" s="338" t="s">
        <v>7749</v>
      </c>
      <c r="E556" s="338" t="s">
        <v>7748</v>
      </c>
      <c r="F556" s="338"/>
      <c r="G556" s="338" t="s">
        <v>413</v>
      </c>
      <c r="H556" s="338" t="s">
        <v>412</v>
      </c>
      <c r="I556" s="338" t="s">
        <v>411</v>
      </c>
      <c r="J556" s="339"/>
      <c r="K556" s="339"/>
      <c r="L556" s="339" t="s">
        <v>409</v>
      </c>
      <c r="M556" s="339" t="s">
        <v>409</v>
      </c>
      <c r="N556" s="338" t="s">
        <v>417</v>
      </c>
      <c r="O556" s="338" t="s">
        <v>409</v>
      </c>
      <c r="P556" s="338"/>
    </row>
    <row r="557" spans="2:16" x14ac:dyDescent="0.25">
      <c r="B557" s="336" t="s">
        <v>416</v>
      </c>
      <c r="C557" s="337">
        <v>41359</v>
      </c>
      <c r="D557" s="338" t="s">
        <v>7747</v>
      </c>
      <c r="E557" s="338" t="s">
        <v>7746</v>
      </c>
      <c r="F557" s="338" t="s">
        <v>4295</v>
      </c>
      <c r="G557" s="338">
        <v>46</v>
      </c>
      <c r="H557" s="338" t="s">
        <v>425</v>
      </c>
      <c r="I557" s="338" t="s">
        <v>1243</v>
      </c>
      <c r="J557" s="339"/>
      <c r="K557" s="339"/>
      <c r="L557" s="339">
        <v>0.95572900000000005</v>
      </c>
      <c r="M557" s="339">
        <v>7.7199400000000002</v>
      </c>
      <c r="N557" s="338"/>
      <c r="O557" s="338" t="s">
        <v>417</v>
      </c>
      <c r="P557" s="338" t="s">
        <v>443</v>
      </c>
    </row>
    <row r="558" spans="2:16" x14ac:dyDescent="0.25">
      <c r="B558" s="336" t="s">
        <v>416</v>
      </c>
      <c r="C558" s="337">
        <v>41358</v>
      </c>
      <c r="D558" s="338" t="s">
        <v>7745</v>
      </c>
      <c r="E558" s="338" t="s">
        <v>1322</v>
      </c>
      <c r="F558" s="338"/>
      <c r="G558" s="338" t="s">
        <v>413</v>
      </c>
      <c r="H558" s="338" t="s">
        <v>412</v>
      </c>
      <c r="I558" s="338" t="s">
        <v>1243</v>
      </c>
      <c r="J558" s="339"/>
      <c r="K558" s="339"/>
      <c r="L558" s="339" t="s">
        <v>409</v>
      </c>
      <c r="M558" s="339" t="s">
        <v>409</v>
      </c>
      <c r="N558" s="338" t="s">
        <v>417</v>
      </c>
      <c r="O558" s="338" t="s">
        <v>409</v>
      </c>
      <c r="P558" s="338" t="s">
        <v>417</v>
      </c>
    </row>
    <row r="559" spans="2:16" x14ac:dyDescent="0.25">
      <c r="B559" s="336" t="s">
        <v>416</v>
      </c>
      <c r="C559" s="337">
        <v>41358</v>
      </c>
      <c r="D559" s="338" t="s">
        <v>730</v>
      </c>
      <c r="E559" s="338" t="s">
        <v>7744</v>
      </c>
      <c r="F559" s="338" t="s">
        <v>3662</v>
      </c>
      <c r="G559" s="338" t="s">
        <v>413</v>
      </c>
      <c r="H559" s="338" t="s">
        <v>412</v>
      </c>
      <c r="I559" s="338" t="s">
        <v>1243</v>
      </c>
      <c r="J559" s="339"/>
      <c r="K559" s="339"/>
      <c r="L559" s="339">
        <v>1.72424</v>
      </c>
      <c r="M559" s="339"/>
      <c r="N559" s="338" t="s">
        <v>417</v>
      </c>
      <c r="O559" s="338" t="s">
        <v>417</v>
      </c>
      <c r="P559" s="338"/>
    </row>
    <row r="560" spans="2:16" x14ac:dyDescent="0.25">
      <c r="B560" s="336" t="s">
        <v>459</v>
      </c>
      <c r="C560" s="337">
        <v>41354</v>
      </c>
      <c r="D560" s="338" t="s">
        <v>7743</v>
      </c>
      <c r="E560" s="338" t="s">
        <v>514</v>
      </c>
      <c r="F560" s="338"/>
      <c r="G560" s="338" t="s">
        <v>413</v>
      </c>
      <c r="H560" s="338" t="s">
        <v>425</v>
      </c>
      <c r="I560" s="338" t="s">
        <v>411</v>
      </c>
      <c r="J560" s="339"/>
      <c r="K560" s="339"/>
      <c r="L560" s="339" t="s">
        <v>409</v>
      </c>
      <c r="M560" s="339" t="s">
        <v>409</v>
      </c>
      <c r="N560" s="338" t="s">
        <v>417</v>
      </c>
      <c r="O560" s="338" t="s">
        <v>409</v>
      </c>
      <c r="P560" s="338"/>
    </row>
    <row r="561" spans="2:16" x14ac:dyDescent="0.25">
      <c r="B561" s="336" t="s">
        <v>416</v>
      </c>
      <c r="C561" s="337">
        <v>41353</v>
      </c>
      <c r="D561" s="338" t="s">
        <v>7742</v>
      </c>
      <c r="E561" s="338" t="s">
        <v>7741</v>
      </c>
      <c r="F561" s="338"/>
      <c r="G561" s="338" t="s">
        <v>413</v>
      </c>
      <c r="H561" s="338" t="s">
        <v>412</v>
      </c>
      <c r="I561" s="338" t="s">
        <v>411</v>
      </c>
      <c r="J561" s="339"/>
      <c r="K561" s="339"/>
      <c r="L561" s="339" t="s">
        <v>409</v>
      </c>
      <c r="M561" s="339" t="s">
        <v>409</v>
      </c>
      <c r="N561" s="338" t="s">
        <v>432</v>
      </c>
      <c r="O561" s="338" t="s">
        <v>409</v>
      </c>
      <c r="P561" s="338" t="s">
        <v>417</v>
      </c>
    </row>
    <row r="562" spans="2:16" x14ac:dyDescent="0.25">
      <c r="B562" s="336" t="s">
        <v>1441</v>
      </c>
      <c r="C562" s="337">
        <v>41352</v>
      </c>
      <c r="D562" s="338" t="s">
        <v>7740</v>
      </c>
      <c r="E562" s="338" t="s">
        <v>7739</v>
      </c>
      <c r="F562" s="338"/>
      <c r="G562" s="338" t="s">
        <v>413</v>
      </c>
      <c r="H562" s="338" t="s">
        <v>412</v>
      </c>
      <c r="I562" s="338" t="s">
        <v>1243</v>
      </c>
      <c r="J562" s="339"/>
      <c r="K562" s="339"/>
      <c r="L562" s="339" t="s">
        <v>409</v>
      </c>
      <c r="M562" s="339" t="s">
        <v>409</v>
      </c>
      <c r="N562" s="338" t="s">
        <v>408</v>
      </c>
      <c r="O562" s="338" t="s">
        <v>409</v>
      </c>
      <c r="P562" s="338" t="s">
        <v>443</v>
      </c>
    </row>
    <row r="563" spans="2:16" x14ac:dyDescent="0.25">
      <c r="B563" s="336" t="s">
        <v>459</v>
      </c>
      <c r="C563" s="337">
        <v>41352</v>
      </c>
      <c r="D563" s="338" t="s">
        <v>7738</v>
      </c>
      <c r="E563" s="338" t="s">
        <v>7737</v>
      </c>
      <c r="F563" s="338"/>
      <c r="G563" s="338" t="s">
        <v>413</v>
      </c>
      <c r="H563" s="338" t="s">
        <v>425</v>
      </c>
      <c r="I563" s="338" t="s">
        <v>411</v>
      </c>
      <c r="J563" s="339"/>
      <c r="K563" s="339"/>
      <c r="L563" s="339" t="s">
        <v>409</v>
      </c>
      <c r="M563" s="339" t="s">
        <v>409</v>
      </c>
      <c r="N563" s="338" t="s">
        <v>417</v>
      </c>
      <c r="O563" s="338" t="s">
        <v>409</v>
      </c>
      <c r="P563" s="338" t="s">
        <v>443</v>
      </c>
    </row>
    <row r="564" spans="2:16" x14ac:dyDescent="0.25">
      <c r="B564" s="336" t="s">
        <v>416</v>
      </c>
      <c r="C564" s="337">
        <v>41347</v>
      </c>
      <c r="D564" s="338" t="s">
        <v>7736</v>
      </c>
      <c r="E564" s="338" t="s">
        <v>2444</v>
      </c>
      <c r="F564" s="338"/>
      <c r="G564" s="338" t="s">
        <v>413</v>
      </c>
      <c r="H564" s="338" t="s">
        <v>412</v>
      </c>
      <c r="I564" s="338" t="s">
        <v>1243</v>
      </c>
      <c r="J564" s="339"/>
      <c r="K564" s="339"/>
      <c r="L564" s="339" t="s">
        <v>409</v>
      </c>
      <c r="M564" s="339" t="s">
        <v>409</v>
      </c>
      <c r="N564" s="338" t="s">
        <v>432</v>
      </c>
      <c r="O564" s="338" t="s">
        <v>409</v>
      </c>
      <c r="P564" s="338" t="s">
        <v>417</v>
      </c>
    </row>
    <row r="565" spans="2:16" x14ac:dyDescent="0.25">
      <c r="B565" s="336" t="s">
        <v>416</v>
      </c>
      <c r="C565" s="337">
        <v>41347</v>
      </c>
      <c r="D565" s="338" t="s">
        <v>7735</v>
      </c>
      <c r="E565" s="338" t="s">
        <v>7219</v>
      </c>
      <c r="F565" s="338"/>
      <c r="G565" s="338" t="s">
        <v>413</v>
      </c>
      <c r="H565" s="338" t="s">
        <v>412</v>
      </c>
      <c r="I565" s="338" t="s">
        <v>1243</v>
      </c>
      <c r="J565" s="339"/>
      <c r="K565" s="339"/>
      <c r="L565" s="339" t="s">
        <v>409</v>
      </c>
      <c r="M565" s="339" t="s">
        <v>409</v>
      </c>
      <c r="N565" s="338" t="s">
        <v>417</v>
      </c>
      <c r="O565" s="338" t="s">
        <v>409</v>
      </c>
      <c r="P565" s="338" t="s">
        <v>417</v>
      </c>
    </row>
    <row r="566" spans="2:16" x14ac:dyDescent="0.25">
      <c r="B566" s="336" t="s">
        <v>416</v>
      </c>
      <c r="C566" s="337">
        <v>41347</v>
      </c>
      <c r="D566" s="338" t="s">
        <v>626</v>
      </c>
      <c r="E566" s="338" t="s">
        <v>2444</v>
      </c>
      <c r="F566" s="338" t="s">
        <v>625</v>
      </c>
      <c r="G566" s="338" t="s">
        <v>413</v>
      </c>
      <c r="H566" s="338" t="s">
        <v>412</v>
      </c>
      <c r="I566" s="338" t="s">
        <v>411</v>
      </c>
      <c r="J566" s="339"/>
      <c r="K566" s="339"/>
      <c r="L566" s="339"/>
      <c r="M566" s="339"/>
      <c r="N566" s="338" t="s">
        <v>417</v>
      </c>
      <c r="O566" s="338" t="s">
        <v>443</v>
      </c>
      <c r="P566" s="338" t="s">
        <v>417</v>
      </c>
    </row>
    <row r="567" spans="2:16" x14ac:dyDescent="0.25">
      <c r="B567" s="336" t="s">
        <v>416</v>
      </c>
      <c r="C567" s="337">
        <v>41346</v>
      </c>
      <c r="D567" s="338" t="s">
        <v>7734</v>
      </c>
      <c r="E567" s="338" t="s">
        <v>7733</v>
      </c>
      <c r="F567" s="338"/>
      <c r="G567" s="338" t="s">
        <v>413</v>
      </c>
      <c r="H567" s="338" t="s">
        <v>412</v>
      </c>
      <c r="I567" s="338" t="s">
        <v>411</v>
      </c>
      <c r="J567" s="339"/>
      <c r="K567" s="339"/>
      <c r="L567" s="339" t="s">
        <v>409</v>
      </c>
      <c r="M567" s="339" t="s">
        <v>409</v>
      </c>
      <c r="N567" s="338" t="s">
        <v>417</v>
      </c>
      <c r="O567" s="338" t="s">
        <v>409</v>
      </c>
      <c r="P567" s="338"/>
    </row>
    <row r="568" spans="2:16" x14ac:dyDescent="0.25">
      <c r="B568" s="336" t="s">
        <v>416</v>
      </c>
      <c r="C568" s="337">
        <v>41345</v>
      </c>
      <c r="D568" s="338" t="s">
        <v>7732</v>
      </c>
      <c r="E568" s="338" t="s">
        <v>7174</v>
      </c>
      <c r="F568" s="338" t="s">
        <v>7731</v>
      </c>
      <c r="G568" s="338" t="s">
        <v>413</v>
      </c>
      <c r="H568" s="338" t="s">
        <v>425</v>
      </c>
      <c r="I568" s="338" t="s">
        <v>411</v>
      </c>
      <c r="J568" s="339"/>
      <c r="K568" s="339"/>
      <c r="L568" s="339"/>
      <c r="M568" s="339"/>
      <c r="N568" s="338" t="s">
        <v>417</v>
      </c>
      <c r="O568" s="338" t="s">
        <v>410</v>
      </c>
      <c r="P568" s="338" t="s">
        <v>417</v>
      </c>
    </row>
    <row r="569" spans="2:16" x14ac:dyDescent="0.25">
      <c r="B569" s="336" t="s">
        <v>416</v>
      </c>
      <c r="C569" s="337">
        <v>41345</v>
      </c>
      <c r="D569" s="338" t="s">
        <v>7730</v>
      </c>
      <c r="E569" s="338" t="s">
        <v>7729</v>
      </c>
      <c r="F569" s="338"/>
      <c r="G569" s="338" t="s">
        <v>413</v>
      </c>
      <c r="H569" s="338" t="s">
        <v>412</v>
      </c>
      <c r="I569" s="338" t="s">
        <v>411</v>
      </c>
      <c r="J569" s="339"/>
      <c r="K569" s="339"/>
      <c r="L569" s="339" t="s">
        <v>409</v>
      </c>
      <c r="M569" s="339" t="s">
        <v>409</v>
      </c>
      <c r="N569" s="338" t="s">
        <v>417</v>
      </c>
      <c r="O569" s="338" t="s">
        <v>409</v>
      </c>
      <c r="P569" s="338"/>
    </row>
    <row r="570" spans="2:16" x14ac:dyDescent="0.25">
      <c r="B570" s="336" t="s">
        <v>459</v>
      </c>
      <c r="C570" s="337">
        <v>41344</v>
      </c>
      <c r="D570" s="338" t="s">
        <v>7728</v>
      </c>
      <c r="E570" s="338" t="s">
        <v>7727</v>
      </c>
      <c r="F570" s="338"/>
      <c r="G570" s="338">
        <v>0.5</v>
      </c>
      <c r="H570" s="338" t="s">
        <v>425</v>
      </c>
      <c r="I570" s="338" t="s">
        <v>411</v>
      </c>
      <c r="J570" s="339"/>
      <c r="K570" s="339"/>
      <c r="L570" s="339" t="s">
        <v>409</v>
      </c>
      <c r="M570" s="339" t="s">
        <v>409</v>
      </c>
      <c r="N570" s="338" t="s">
        <v>432</v>
      </c>
      <c r="O570" s="338" t="s">
        <v>409</v>
      </c>
      <c r="P570" s="338"/>
    </row>
    <row r="571" spans="2:16" x14ac:dyDescent="0.25">
      <c r="B571" s="336" t="s">
        <v>459</v>
      </c>
      <c r="C571" s="337">
        <v>41344</v>
      </c>
      <c r="D571" s="338" t="s">
        <v>7726</v>
      </c>
      <c r="E571" s="338" t="s">
        <v>514</v>
      </c>
      <c r="F571" s="338"/>
      <c r="G571" s="338">
        <v>2.4</v>
      </c>
      <c r="H571" s="338" t="s">
        <v>425</v>
      </c>
      <c r="I571" s="338" t="s">
        <v>411</v>
      </c>
      <c r="J571" s="339"/>
      <c r="K571" s="339"/>
      <c r="L571" s="339" t="s">
        <v>409</v>
      </c>
      <c r="M571" s="339" t="s">
        <v>409</v>
      </c>
      <c r="N571" s="338" t="s">
        <v>417</v>
      </c>
      <c r="O571" s="338" t="s">
        <v>409</v>
      </c>
      <c r="P571" s="338"/>
    </row>
    <row r="572" spans="2:16" x14ac:dyDescent="0.25">
      <c r="B572" s="336" t="s">
        <v>459</v>
      </c>
      <c r="C572" s="337">
        <v>41344</v>
      </c>
      <c r="D572" s="338" t="s">
        <v>5450</v>
      </c>
      <c r="E572" s="338" t="s">
        <v>7725</v>
      </c>
      <c r="F572" s="338"/>
      <c r="G572" s="338">
        <v>24.4</v>
      </c>
      <c r="H572" s="338" t="s">
        <v>425</v>
      </c>
      <c r="I572" s="338" t="s">
        <v>411</v>
      </c>
      <c r="J572" s="339"/>
      <c r="K572" s="339"/>
      <c r="L572" s="339" t="s">
        <v>409</v>
      </c>
      <c r="M572" s="339" t="s">
        <v>409</v>
      </c>
      <c r="N572" s="338" t="s">
        <v>417</v>
      </c>
      <c r="O572" s="338" t="s">
        <v>409</v>
      </c>
      <c r="P572" s="338"/>
    </row>
    <row r="573" spans="2:16" x14ac:dyDescent="0.25">
      <c r="B573" s="336" t="s">
        <v>416</v>
      </c>
      <c r="C573" s="337">
        <v>41344</v>
      </c>
      <c r="D573" s="338" t="s">
        <v>7724</v>
      </c>
      <c r="E573" s="338" t="s">
        <v>7723</v>
      </c>
      <c r="F573" s="338" t="s">
        <v>5555</v>
      </c>
      <c r="G573" s="338" t="s">
        <v>413</v>
      </c>
      <c r="H573" s="338" t="s">
        <v>425</v>
      </c>
      <c r="I573" s="338" t="s">
        <v>411</v>
      </c>
      <c r="J573" s="339"/>
      <c r="K573" s="339"/>
      <c r="L573" s="339"/>
      <c r="M573" s="339"/>
      <c r="N573" s="338" t="s">
        <v>417</v>
      </c>
      <c r="O573" s="338" t="s">
        <v>417</v>
      </c>
      <c r="P573" s="338" t="s">
        <v>417</v>
      </c>
    </row>
    <row r="574" spans="2:16" x14ac:dyDescent="0.25">
      <c r="B574" s="336" t="s">
        <v>416</v>
      </c>
      <c r="C574" s="337">
        <v>41341</v>
      </c>
      <c r="D574" s="338" t="s">
        <v>3488</v>
      </c>
      <c r="E574" s="338" t="s">
        <v>4930</v>
      </c>
      <c r="F574" s="338"/>
      <c r="G574" s="338" t="s">
        <v>413</v>
      </c>
      <c r="H574" s="338" t="s">
        <v>425</v>
      </c>
      <c r="I574" s="338" t="s">
        <v>411</v>
      </c>
      <c r="J574" s="339"/>
      <c r="K574" s="339"/>
      <c r="L574" s="339" t="s">
        <v>409</v>
      </c>
      <c r="M574" s="339" t="s">
        <v>409</v>
      </c>
      <c r="N574" s="338"/>
      <c r="O574" s="338" t="s">
        <v>409</v>
      </c>
      <c r="P574" s="338" t="s">
        <v>417</v>
      </c>
    </row>
    <row r="575" spans="2:16" x14ac:dyDescent="0.25">
      <c r="B575" s="336" t="s">
        <v>459</v>
      </c>
      <c r="C575" s="337">
        <v>41340</v>
      </c>
      <c r="D575" s="338" t="s">
        <v>7722</v>
      </c>
      <c r="E575" s="338" t="s">
        <v>7721</v>
      </c>
      <c r="F575" s="338"/>
      <c r="G575" s="338">
        <v>5.6</v>
      </c>
      <c r="H575" s="338" t="s">
        <v>425</v>
      </c>
      <c r="I575" s="338" t="s">
        <v>411</v>
      </c>
      <c r="J575" s="339"/>
      <c r="K575" s="339"/>
      <c r="L575" s="339" t="s">
        <v>409</v>
      </c>
      <c r="M575" s="339" t="s">
        <v>409</v>
      </c>
      <c r="N575" s="338" t="s">
        <v>605</v>
      </c>
      <c r="O575" s="338" t="s">
        <v>409</v>
      </c>
      <c r="P575" s="338"/>
    </row>
    <row r="576" spans="2:16" x14ac:dyDescent="0.25">
      <c r="B576" s="336" t="s">
        <v>416</v>
      </c>
      <c r="C576" s="337">
        <v>41340</v>
      </c>
      <c r="D576" s="338" t="s">
        <v>7720</v>
      </c>
      <c r="E576" s="338" t="s">
        <v>6628</v>
      </c>
      <c r="F576" s="338"/>
      <c r="G576" s="338">
        <v>533.51</v>
      </c>
      <c r="H576" s="338" t="s">
        <v>425</v>
      </c>
      <c r="I576" s="338" t="s">
        <v>411</v>
      </c>
      <c r="J576" s="339">
        <v>0.68520300000000001</v>
      </c>
      <c r="K576" s="339">
        <v>8.0575200000000002</v>
      </c>
      <c r="L576" s="339" t="s">
        <v>409</v>
      </c>
      <c r="M576" s="339" t="s">
        <v>409</v>
      </c>
      <c r="N576" s="338" t="s">
        <v>417</v>
      </c>
      <c r="O576" s="338" t="s">
        <v>409</v>
      </c>
      <c r="P576" s="338" t="s">
        <v>443</v>
      </c>
    </row>
    <row r="577" spans="2:16" x14ac:dyDescent="0.25">
      <c r="B577" s="336" t="s">
        <v>416</v>
      </c>
      <c r="C577" s="337">
        <v>41340</v>
      </c>
      <c r="D577" s="338" t="s">
        <v>7719</v>
      </c>
      <c r="E577" s="338" t="s">
        <v>7718</v>
      </c>
      <c r="F577" s="338"/>
      <c r="G577" s="338" t="s">
        <v>413</v>
      </c>
      <c r="H577" s="338" t="s">
        <v>412</v>
      </c>
      <c r="I577" s="338" t="s">
        <v>1243</v>
      </c>
      <c r="J577" s="339"/>
      <c r="K577" s="339"/>
      <c r="L577" s="339" t="s">
        <v>409</v>
      </c>
      <c r="M577" s="339" t="s">
        <v>409</v>
      </c>
      <c r="N577" s="338" t="s">
        <v>408</v>
      </c>
      <c r="O577" s="338" t="s">
        <v>409</v>
      </c>
      <c r="P577" s="338" t="s">
        <v>410</v>
      </c>
    </row>
    <row r="578" spans="2:16" x14ac:dyDescent="0.25">
      <c r="B578" s="336" t="s">
        <v>459</v>
      </c>
      <c r="C578" s="337">
        <v>41339</v>
      </c>
      <c r="D578" s="338" t="s">
        <v>7717</v>
      </c>
      <c r="E578" s="338" t="s">
        <v>7716</v>
      </c>
      <c r="F578" s="338"/>
      <c r="G578" s="338">
        <v>11.5</v>
      </c>
      <c r="H578" s="338" t="s">
        <v>425</v>
      </c>
      <c r="I578" s="338" t="s">
        <v>411</v>
      </c>
      <c r="J578" s="339"/>
      <c r="K578" s="339"/>
      <c r="L578" s="339" t="s">
        <v>409</v>
      </c>
      <c r="M578" s="339" t="s">
        <v>409</v>
      </c>
      <c r="N578" s="338" t="s">
        <v>417</v>
      </c>
      <c r="O578" s="338" t="s">
        <v>409</v>
      </c>
      <c r="P578" s="338"/>
    </row>
    <row r="579" spans="2:16" x14ac:dyDescent="0.25">
      <c r="B579" s="336" t="s">
        <v>416</v>
      </c>
      <c r="C579" s="337">
        <v>41338</v>
      </c>
      <c r="D579" s="338" t="s">
        <v>7715</v>
      </c>
      <c r="E579" s="338" t="s">
        <v>1890</v>
      </c>
      <c r="F579" s="338" t="s">
        <v>7714</v>
      </c>
      <c r="G579" s="338" t="s">
        <v>413</v>
      </c>
      <c r="H579" s="338" t="s">
        <v>425</v>
      </c>
      <c r="I579" s="338" t="s">
        <v>411</v>
      </c>
      <c r="J579" s="339"/>
      <c r="K579" s="339"/>
      <c r="L579" s="339"/>
      <c r="M579" s="339"/>
      <c r="N579" s="338"/>
      <c r="O579" s="338" t="s">
        <v>417</v>
      </c>
      <c r="P579" s="338" t="s">
        <v>417</v>
      </c>
    </row>
    <row r="580" spans="2:16" x14ac:dyDescent="0.25">
      <c r="B580" s="336" t="s">
        <v>416</v>
      </c>
      <c r="C580" s="337">
        <v>41338</v>
      </c>
      <c r="D580" s="338" t="s">
        <v>7713</v>
      </c>
      <c r="E580" s="338" t="s">
        <v>6538</v>
      </c>
      <c r="F580" s="338"/>
      <c r="G580" s="338">
        <v>8.1</v>
      </c>
      <c r="H580" s="338" t="s">
        <v>425</v>
      </c>
      <c r="I580" s="338" t="s">
        <v>1243</v>
      </c>
      <c r="J580" s="339"/>
      <c r="K580" s="339"/>
      <c r="L580" s="339" t="s">
        <v>409</v>
      </c>
      <c r="M580" s="339" t="s">
        <v>409</v>
      </c>
      <c r="N580" s="338"/>
      <c r="O580" s="338" t="s">
        <v>409</v>
      </c>
      <c r="P580" s="338" t="s">
        <v>417</v>
      </c>
    </row>
    <row r="581" spans="2:16" x14ac:dyDescent="0.25">
      <c r="B581" s="336" t="s">
        <v>416</v>
      </c>
      <c r="C581" s="337">
        <v>41338</v>
      </c>
      <c r="D581" s="338" t="s">
        <v>7712</v>
      </c>
      <c r="E581" s="338" t="s">
        <v>485</v>
      </c>
      <c r="F581" s="338"/>
      <c r="G581" s="338">
        <v>1.5</v>
      </c>
      <c r="H581" s="338" t="s">
        <v>418</v>
      </c>
      <c r="I581" s="338" t="s">
        <v>411</v>
      </c>
      <c r="J581" s="339"/>
      <c r="K581" s="339"/>
      <c r="L581" s="339" t="s">
        <v>409</v>
      </c>
      <c r="M581" s="339" t="s">
        <v>409</v>
      </c>
      <c r="N581" s="338"/>
      <c r="O581" s="338" t="s">
        <v>409</v>
      </c>
      <c r="P581" s="338" t="s">
        <v>417</v>
      </c>
    </row>
    <row r="582" spans="2:16" x14ac:dyDescent="0.25">
      <c r="B582" s="336" t="s">
        <v>416</v>
      </c>
      <c r="C582" s="337">
        <v>41338</v>
      </c>
      <c r="D582" s="338" t="s">
        <v>956</v>
      </c>
      <c r="E582" s="338" t="s">
        <v>905</v>
      </c>
      <c r="F582" s="338" t="s">
        <v>5884</v>
      </c>
      <c r="G582" s="338" t="s">
        <v>413</v>
      </c>
      <c r="H582" s="338" t="s">
        <v>412</v>
      </c>
      <c r="I582" s="338" t="s">
        <v>411</v>
      </c>
      <c r="J582" s="339"/>
      <c r="K582" s="339"/>
      <c r="L582" s="339">
        <v>2.5178600000000002</v>
      </c>
      <c r="M582" s="339">
        <v>6.4542900000000003</v>
      </c>
      <c r="N582" s="338"/>
      <c r="O582" s="338" t="s">
        <v>410</v>
      </c>
      <c r="P582" s="338" t="s">
        <v>417</v>
      </c>
    </row>
    <row r="583" spans="2:16" x14ac:dyDescent="0.25">
      <c r="B583" s="336" t="s">
        <v>416</v>
      </c>
      <c r="C583" s="337">
        <v>41338</v>
      </c>
      <c r="D583" s="338" t="s">
        <v>4892</v>
      </c>
      <c r="E583" s="338" t="s">
        <v>7711</v>
      </c>
      <c r="F583" s="338"/>
      <c r="G583" s="338" t="s">
        <v>413</v>
      </c>
      <c r="H583" s="338" t="s">
        <v>412</v>
      </c>
      <c r="I583" s="338" t="s">
        <v>411</v>
      </c>
      <c r="J583" s="339"/>
      <c r="K583" s="339"/>
      <c r="L583" s="339" t="s">
        <v>409</v>
      </c>
      <c r="M583" s="339" t="s">
        <v>409</v>
      </c>
      <c r="N583" s="338" t="s">
        <v>417</v>
      </c>
      <c r="O583" s="338" t="s">
        <v>409</v>
      </c>
      <c r="P583" s="338" t="s">
        <v>417</v>
      </c>
    </row>
    <row r="584" spans="2:16" x14ac:dyDescent="0.25">
      <c r="B584" s="336" t="s">
        <v>459</v>
      </c>
      <c r="C584" s="337">
        <v>41338</v>
      </c>
      <c r="D584" s="338" t="s">
        <v>7710</v>
      </c>
      <c r="E584" s="338" t="s">
        <v>7709</v>
      </c>
      <c r="F584" s="338"/>
      <c r="G584" s="338">
        <v>1.75</v>
      </c>
      <c r="H584" s="338" t="s">
        <v>425</v>
      </c>
      <c r="I584" s="338" t="s">
        <v>411</v>
      </c>
      <c r="J584" s="339"/>
      <c r="K584" s="339"/>
      <c r="L584" s="339" t="s">
        <v>409</v>
      </c>
      <c r="M584" s="339" t="s">
        <v>409</v>
      </c>
      <c r="N584" s="338" t="s">
        <v>417</v>
      </c>
      <c r="O584" s="338" t="s">
        <v>409</v>
      </c>
      <c r="P584" s="338"/>
    </row>
    <row r="585" spans="2:16" x14ac:dyDescent="0.25">
      <c r="B585" s="336" t="s">
        <v>416</v>
      </c>
      <c r="C585" s="337">
        <v>41337</v>
      </c>
      <c r="D585" s="338" t="s">
        <v>7708</v>
      </c>
      <c r="E585" s="338" t="s">
        <v>4608</v>
      </c>
      <c r="F585" s="338" t="s">
        <v>7707</v>
      </c>
      <c r="G585" s="338" t="s">
        <v>413</v>
      </c>
      <c r="H585" s="338" t="s">
        <v>425</v>
      </c>
      <c r="I585" s="338" t="s">
        <v>411</v>
      </c>
      <c r="J585" s="339"/>
      <c r="K585" s="339"/>
      <c r="L585" s="339"/>
      <c r="M585" s="339"/>
      <c r="N585" s="338"/>
      <c r="O585" s="338" t="s">
        <v>482</v>
      </c>
      <c r="P585" s="338" t="s">
        <v>482</v>
      </c>
    </row>
    <row r="586" spans="2:16" x14ac:dyDescent="0.25">
      <c r="B586" s="336" t="s">
        <v>416</v>
      </c>
      <c r="C586" s="337">
        <v>41337</v>
      </c>
      <c r="D586" s="338" t="s">
        <v>7706</v>
      </c>
      <c r="E586" s="338" t="s">
        <v>7705</v>
      </c>
      <c r="F586" s="338"/>
      <c r="G586" s="338" t="s">
        <v>413</v>
      </c>
      <c r="H586" s="338" t="s">
        <v>425</v>
      </c>
      <c r="I586" s="338" t="s">
        <v>411</v>
      </c>
      <c r="J586" s="339"/>
      <c r="K586" s="339"/>
      <c r="L586" s="339" t="s">
        <v>409</v>
      </c>
      <c r="M586" s="339" t="s">
        <v>409</v>
      </c>
      <c r="N586" s="338" t="s">
        <v>487</v>
      </c>
      <c r="O586" s="338" t="s">
        <v>409</v>
      </c>
      <c r="P586" s="338" t="s">
        <v>443</v>
      </c>
    </row>
    <row r="587" spans="2:16" x14ac:dyDescent="0.25">
      <c r="B587" s="336" t="s">
        <v>459</v>
      </c>
      <c r="C587" s="337">
        <v>41337</v>
      </c>
      <c r="D587" s="338" t="s">
        <v>7704</v>
      </c>
      <c r="E587" s="338" t="s">
        <v>7703</v>
      </c>
      <c r="F587" s="338"/>
      <c r="G587" s="338">
        <v>4</v>
      </c>
      <c r="H587" s="338" t="s">
        <v>425</v>
      </c>
      <c r="I587" s="338" t="s">
        <v>411</v>
      </c>
      <c r="J587" s="339"/>
      <c r="K587" s="339"/>
      <c r="L587" s="339" t="s">
        <v>409</v>
      </c>
      <c r="M587" s="339" t="s">
        <v>409</v>
      </c>
      <c r="N587" s="338" t="s">
        <v>417</v>
      </c>
      <c r="O587" s="338" t="s">
        <v>409</v>
      </c>
      <c r="P587" s="338"/>
    </row>
    <row r="588" spans="2:16" x14ac:dyDescent="0.25">
      <c r="B588" s="336" t="s">
        <v>416</v>
      </c>
      <c r="C588" s="337">
        <v>41334</v>
      </c>
      <c r="D588" s="338" t="s">
        <v>956</v>
      </c>
      <c r="E588" s="338" t="s">
        <v>7702</v>
      </c>
      <c r="F588" s="338" t="s">
        <v>7701</v>
      </c>
      <c r="G588" s="338" t="s">
        <v>413</v>
      </c>
      <c r="H588" s="338" t="s">
        <v>425</v>
      </c>
      <c r="I588" s="338" t="s">
        <v>1243</v>
      </c>
      <c r="J588" s="339"/>
      <c r="K588" s="339"/>
      <c r="L588" s="339"/>
      <c r="M588" s="339"/>
      <c r="N588" s="338"/>
      <c r="O588" s="338" t="s">
        <v>417</v>
      </c>
      <c r="P588" s="338" t="s">
        <v>417</v>
      </c>
    </row>
    <row r="589" spans="2:16" x14ac:dyDescent="0.25">
      <c r="B589" s="336" t="s">
        <v>459</v>
      </c>
      <c r="C589" s="337">
        <v>41334</v>
      </c>
      <c r="D589" s="338" t="s">
        <v>7700</v>
      </c>
      <c r="E589" s="338" t="s">
        <v>804</v>
      </c>
      <c r="F589" s="338"/>
      <c r="G589" s="338" t="s">
        <v>413</v>
      </c>
      <c r="H589" s="338" t="s">
        <v>425</v>
      </c>
      <c r="I589" s="338" t="s">
        <v>411</v>
      </c>
      <c r="J589" s="339"/>
      <c r="K589" s="339"/>
      <c r="L589" s="339" t="s">
        <v>409</v>
      </c>
      <c r="M589" s="339" t="s">
        <v>409</v>
      </c>
      <c r="N589" s="338" t="s">
        <v>417</v>
      </c>
      <c r="O589" s="338" t="s">
        <v>409</v>
      </c>
      <c r="P589" s="338" t="s">
        <v>443</v>
      </c>
    </row>
    <row r="590" spans="2:16" x14ac:dyDescent="0.25">
      <c r="B590" s="336" t="s">
        <v>416</v>
      </c>
      <c r="C590" s="337">
        <v>41334</v>
      </c>
      <c r="D590" s="338" t="s">
        <v>4779</v>
      </c>
      <c r="E590" s="338" t="s">
        <v>7679</v>
      </c>
      <c r="F590" s="338"/>
      <c r="G590" s="338">
        <v>207.35</v>
      </c>
      <c r="H590" s="338" t="s">
        <v>425</v>
      </c>
      <c r="I590" s="338" t="s">
        <v>411</v>
      </c>
      <c r="J590" s="339">
        <v>2.24762</v>
      </c>
      <c r="K590" s="339">
        <v>21.083100000000002</v>
      </c>
      <c r="L590" s="339" t="s">
        <v>409</v>
      </c>
      <c r="M590" s="339" t="s">
        <v>409</v>
      </c>
      <c r="N590" s="338" t="s">
        <v>432</v>
      </c>
      <c r="O590" s="338" t="s">
        <v>409</v>
      </c>
      <c r="P590" s="338" t="s">
        <v>417</v>
      </c>
    </row>
    <row r="591" spans="2:16" x14ac:dyDescent="0.25">
      <c r="B591" s="336" t="s">
        <v>416</v>
      </c>
      <c r="C591" s="337">
        <v>41334</v>
      </c>
      <c r="D591" s="338" t="s">
        <v>7699</v>
      </c>
      <c r="E591" s="338" t="s">
        <v>3720</v>
      </c>
      <c r="F591" s="338"/>
      <c r="G591" s="338">
        <v>18.100000000000001</v>
      </c>
      <c r="H591" s="338" t="s">
        <v>425</v>
      </c>
      <c r="I591" s="338" t="s">
        <v>411</v>
      </c>
      <c r="J591" s="339">
        <v>0.33960299999999999</v>
      </c>
      <c r="K591" s="339"/>
      <c r="L591" s="339" t="s">
        <v>409</v>
      </c>
      <c r="M591" s="339" t="s">
        <v>409</v>
      </c>
      <c r="N591" s="338" t="s">
        <v>417</v>
      </c>
      <c r="O591" s="338" t="s">
        <v>409</v>
      </c>
      <c r="P591" s="338" t="s">
        <v>417</v>
      </c>
    </row>
    <row r="592" spans="2:16" x14ac:dyDescent="0.25">
      <c r="B592" s="336" t="s">
        <v>459</v>
      </c>
      <c r="C592" s="337">
        <v>41333</v>
      </c>
      <c r="D592" s="338" t="s">
        <v>7698</v>
      </c>
      <c r="E592" s="338" t="s">
        <v>7697</v>
      </c>
      <c r="F592" s="338"/>
      <c r="G592" s="338">
        <v>10.3</v>
      </c>
      <c r="H592" s="338" t="s">
        <v>425</v>
      </c>
      <c r="I592" s="338" t="s">
        <v>411</v>
      </c>
      <c r="J592" s="339"/>
      <c r="K592" s="339"/>
      <c r="L592" s="339" t="s">
        <v>409</v>
      </c>
      <c r="M592" s="339" t="s">
        <v>409</v>
      </c>
      <c r="N592" s="338" t="s">
        <v>417</v>
      </c>
      <c r="O592" s="338" t="s">
        <v>409</v>
      </c>
      <c r="P592" s="338"/>
    </row>
    <row r="593" spans="2:16" x14ac:dyDescent="0.25">
      <c r="B593" s="336" t="s">
        <v>416</v>
      </c>
      <c r="C593" s="337">
        <v>41333</v>
      </c>
      <c r="D593" s="338" t="s">
        <v>2304</v>
      </c>
      <c r="E593" s="338" t="s">
        <v>6481</v>
      </c>
      <c r="F593" s="338" t="s">
        <v>2303</v>
      </c>
      <c r="G593" s="338">
        <v>65.5</v>
      </c>
      <c r="H593" s="338" t="s">
        <v>425</v>
      </c>
      <c r="I593" s="338" t="s">
        <v>411</v>
      </c>
      <c r="J593" s="339"/>
      <c r="K593" s="339"/>
      <c r="L593" s="339">
        <v>1.9361999999999999</v>
      </c>
      <c r="M593" s="339">
        <v>9.8592499999999994</v>
      </c>
      <c r="N593" s="338"/>
      <c r="O593" s="338" t="s">
        <v>417</v>
      </c>
      <c r="P593" s="338" t="s">
        <v>543</v>
      </c>
    </row>
    <row r="594" spans="2:16" x14ac:dyDescent="0.25">
      <c r="B594" s="336" t="s">
        <v>416</v>
      </c>
      <c r="C594" s="337">
        <v>41333</v>
      </c>
      <c r="D594" s="338" t="s">
        <v>7696</v>
      </c>
      <c r="E594" s="338" t="s">
        <v>7174</v>
      </c>
      <c r="F594" s="338"/>
      <c r="G594" s="338" t="s">
        <v>413</v>
      </c>
      <c r="H594" s="338" t="s">
        <v>412</v>
      </c>
      <c r="I594" s="338" t="s">
        <v>411</v>
      </c>
      <c r="J594" s="339"/>
      <c r="K594" s="339"/>
      <c r="L594" s="339" t="s">
        <v>409</v>
      </c>
      <c r="M594" s="339" t="s">
        <v>409</v>
      </c>
      <c r="N594" s="338" t="s">
        <v>417</v>
      </c>
      <c r="O594" s="338" t="s">
        <v>409</v>
      </c>
      <c r="P594" s="338" t="s">
        <v>417</v>
      </c>
    </row>
    <row r="595" spans="2:16" x14ac:dyDescent="0.25">
      <c r="B595" s="336" t="s">
        <v>416</v>
      </c>
      <c r="C595" s="337">
        <v>41332</v>
      </c>
      <c r="D595" s="338" t="s">
        <v>7695</v>
      </c>
      <c r="E595" s="338" t="s">
        <v>7694</v>
      </c>
      <c r="F595" s="338"/>
      <c r="G595" s="338" t="s">
        <v>413</v>
      </c>
      <c r="H595" s="338" t="s">
        <v>412</v>
      </c>
      <c r="I595" s="338" t="s">
        <v>411</v>
      </c>
      <c r="J595" s="339"/>
      <c r="K595" s="339"/>
      <c r="L595" s="339" t="s">
        <v>409</v>
      </c>
      <c r="M595" s="339" t="s">
        <v>409</v>
      </c>
      <c r="N595" s="338" t="s">
        <v>487</v>
      </c>
      <c r="O595" s="338" t="s">
        <v>409</v>
      </c>
      <c r="P595" s="338" t="s">
        <v>410</v>
      </c>
    </row>
    <row r="596" spans="2:16" x14ac:dyDescent="0.25">
      <c r="B596" s="336" t="s">
        <v>416</v>
      </c>
      <c r="C596" s="337">
        <v>41332</v>
      </c>
      <c r="D596" s="338" t="s">
        <v>7693</v>
      </c>
      <c r="E596" s="338" t="s">
        <v>7692</v>
      </c>
      <c r="F596" s="338" t="s">
        <v>7691</v>
      </c>
      <c r="G596" s="338">
        <v>10</v>
      </c>
      <c r="H596" s="338" t="s">
        <v>425</v>
      </c>
      <c r="I596" s="338" t="s">
        <v>411</v>
      </c>
      <c r="J596" s="339"/>
      <c r="K596" s="339"/>
      <c r="L596" s="339">
        <v>0.68028900000000003</v>
      </c>
      <c r="M596" s="339">
        <v>21.905100000000001</v>
      </c>
      <c r="N596" s="338"/>
      <c r="O596" s="338" t="s">
        <v>432</v>
      </c>
      <c r="P596" s="338" t="s">
        <v>417</v>
      </c>
    </row>
    <row r="597" spans="2:16" x14ac:dyDescent="0.25">
      <c r="B597" s="336" t="s">
        <v>459</v>
      </c>
      <c r="C597" s="337">
        <v>41331</v>
      </c>
      <c r="D597" s="338" t="s">
        <v>7690</v>
      </c>
      <c r="E597" s="338" t="s">
        <v>7689</v>
      </c>
      <c r="F597" s="338"/>
      <c r="G597" s="338">
        <v>7</v>
      </c>
      <c r="H597" s="338" t="s">
        <v>425</v>
      </c>
      <c r="I597" s="338" t="s">
        <v>411</v>
      </c>
      <c r="J597" s="339"/>
      <c r="K597" s="339"/>
      <c r="L597" s="339" t="s">
        <v>409</v>
      </c>
      <c r="M597" s="339" t="s">
        <v>409</v>
      </c>
      <c r="N597" s="338" t="s">
        <v>410</v>
      </c>
      <c r="O597" s="338" t="s">
        <v>409</v>
      </c>
      <c r="P597" s="338"/>
    </row>
    <row r="598" spans="2:16" x14ac:dyDescent="0.25">
      <c r="B598" s="336" t="s">
        <v>416</v>
      </c>
      <c r="C598" s="337">
        <v>41327</v>
      </c>
      <c r="D598" s="338" t="s">
        <v>7688</v>
      </c>
      <c r="E598" s="338" t="s">
        <v>2078</v>
      </c>
      <c r="F598" s="338" t="s">
        <v>7687</v>
      </c>
      <c r="G598" s="338">
        <v>550</v>
      </c>
      <c r="H598" s="338" t="s">
        <v>425</v>
      </c>
      <c r="I598" s="338" t="s">
        <v>411</v>
      </c>
      <c r="J598" s="339"/>
      <c r="K598" s="339"/>
      <c r="L598" s="339">
        <v>2.3288799999999998</v>
      </c>
      <c r="M598" s="339">
        <v>13.5038</v>
      </c>
      <c r="N598" s="338"/>
      <c r="O598" s="338" t="s">
        <v>487</v>
      </c>
      <c r="P598" s="338" t="s">
        <v>417</v>
      </c>
    </row>
    <row r="599" spans="2:16" x14ac:dyDescent="0.25">
      <c r="B599" s="336" t="s">
        <v>459</v>
      </c>
      <c r="C599" s="337">
        <v>41326</v>
      </c>
      <c r="D599" s="338" t="s">
        <v>5015</v>
      </c>
      <c r="E599" s="338" t="s">
        <v>7686</v>
      </c>
      <c r="F599" s="338"/>
      <c r="G599" s="338">
        <v>30</v>
      </c>
      <c r="H599" s="338" t="s">
        <v>425</v>
      </c>
      <c r="I599" s="338" t="s">
        <v>411</v>
      </c>
      <c r="J599" s="339"/>
      <c r="K599" s="339"/>
      <c r="L599" s="339" t="s">
        <v>409</v>
      </c>
      <c r="M599" s="339" t="s">
        <v>409</v>
      </c>
      <c r="N599" s="338" t="s">
        <v>410</v>
      </c>
      <c r="O599" s="338" t="s">
        <v>409</v>
      </c>
      <c r="P599" s="338"/>
    </row>
    <row r="600" spans="2:16" x14ac:dyDescent="0.25">
      <c r="B600" s="336" t="s">
        <v>416</v>
      </c>
      <c r="C600" s="337">
        <v>41326</v>
      </c>
      <c r="D600" s="338" t="s">
        <v>7685</v>
      </c>
      <c r="E600" s="338" t="s">
        <v>7684</v>
      </c>
      <c r="F600" s="338" t="s">
        <v>2269</v>
      </c>
      <c r="G600" s="338">
        <v>687.53</v>
      </c>
      <c r="H600" s="338" t="s">
        <v>425</v>
      </c>
      <c r="I600" s="338" t="s">
        <v>411</v>
      </c>
      <c r="J600" s="339"/>
      <c r="K600" s="339"/>
      <c r="L600" s="339">
        <v>0.229437</v>
      </c>
      <c r="M600" s="339">
        <v>10.070499999999999</v>
      </c>
      <c r="N600" s="338" t="s">
        <v>417</v>
      </c>
      <c r="O600" s="338" t="s">
        <v>417</v>
      </c>
      <c r="P600" s="338" t="s">
        <v>417</v>
      </c>
    </row>
    <row r="601" spans="2:16" x14ac:dyDescent="0.25">
      <c r="B601" s="336" t="s">
        <v>416</v>
      </c>
      <c r="C601" s="337">
        <v>41325</v>
      </c>
      <c r="D601" s="338" t="s">
        <v>7683</v>
      </c>
      <c r="E601" s="338" t="s">
        <v>7682</v>
      </c>
      <c r="F601" s="338"/>
      <c r="G601" s="338" t="s">
        <v>413</v>
      </c>
      <c r="H601" s="338" t="s">
        <v>425</v>
      </c>
      <c r="I601" s="338" t="s">
        <v>1243</v>
      </c>
      <c r="J601" s="339"/>
      <c r="K601" s="339"/>
      <c r="L601" s="339" t="s">
        <v>409</v>
      </c>
      <c r="M601" s="339" t="s">
        <v>409</v>
      </c>
      <c r="N601" s="338" t="s">
        <v>417</v>
      </c>
      <c r="O601" s="338" t="s">
        <v>409</v>
      </c>
      <c r="P601" s="338" t="s">
        <v>417</v>
      </c>
    </row>
    <row r="602" spans="2:16" x14ac:dyDescent="0.25">
      <c r="B602" s="336" t="s">
        <v>416</v>
      </c>
      <c r="C602" s="337">
        <v>41325</v>
      </c>
      <c r="D602" s="338" t="s">
        <v>1056</v>
      </c>
      <c r="E602" s="338" t="s">
        <v>2269</v>
      </c>
      <c r="F602" s="338"/>
      <c r="G602" s="338">
        <v>1512.45</v>
      </c>
      <c r="H602" s="338" t="s">
        <v>336</v>
      </c>
      <c r="I602" s="338" t="s">
        <v>411</v>
      </c>
      <c r="J602" s="339">
        <v>0.24737100000000001</v>
      </c>
      <c r="K602" s="339">
        <v>10.732799999999999</v>
      </c>
      <c r="L602" s="339" t="s">
        <v>409</v>
      </c>
      <c r="M602" s="339" t="s">
        <v>409</v>
      </c>
      <c r="N602" s="338" t="s">
        <v>417</v>
      </c>
      <c r="O602" s="338" t="s">
        <v>409</v>
      </c>
      <c r="P602" s="338" t="s">
        <v>417</v>
      </c>
    </row>
    <row r="603" spans="2:16" x14ac:dyDescent="0.25">
      <c r="B603" s="336" t="s">
        <v>416</v>
      </c>
      <c r="C603" s="337">
        <v>41324</v>
      </c>
      <c r="D603" s="338" t="s">
        <v>7681</v>
      </c>
      <c r="E603" s="338" t="s">
        <v>978</v>
      </c>
      <c r="F603" s="338"/>
      <c r="G603" s="338">
        <v>191</v>
      </c>
      <c r="H603" s="338" t="s">
        <v>425</v>
      </c>
      <c r="I603" s="338" t="s">
        <v>411</v>
      </c>
      <c r="J603" s="339"/>
      <c r="K603" s="339"/>
      <c r="L603" s="339" t="s">
        <v>409</v>
      </c>
      <c r="M603" s="339" t="s">
        <v>409</v>
      </c>
      <c r="N603" s="338" t="s">
        <v>417</v>
      </c>
      <c r="O603" s="338" t="s">
        <v>409</v>
      </c>
      <c r="P603" s="338" t="s">
        <v>417</v>
      </c>
    </row>
    <row r="604" spans="2:16" x14ac:dyDescent="0.25">
      <c r="B604" s="336" t="s">
        <v>416</v>
      </c>
      <c r="C604" s="337">
        <v>41320</v>
      </c>
      <c r="D604" s="338" t="s">
        <v>956</v>
      </c>
      <c r="E604" s="338" t="s">
        <v>7680</v>
      </c>
      <c r="F604" s="338" t="s">
        <v>7679</v>
      </c>
      <c r="G604" s="338" t="s">
        <v>413</v>
      </c>
      <c r="H604" s="338" t="s">
        <v>425</v>
      </c>
      <c r="I604" s="338" t="s">
        <v>411</v>
      </c>
      <c r="J604" s="339"/>
      <c r="K604" s="339"/>
      <c r="L604" s="339"/>
      <c r="M604" s="339"/>
      <c r="N604" s="338"/>
      <c r="O604" s="338" t="s">
        <v>417</v>
      </c>
      <c r="P604" s="338" t="s">
        <v>410</v>
      </c>
    </row>
    <row r="605" spans="2:16" x14ac:dyDescent="0.25">
      <c r="B605" s="336" t="s">
        <v>416</v>
      </c>
      <c r="C605" s="337">
        <v>41320</v>
      </c>
      <c r="D605" s="338" t="s">
        <v>7678</v>
      </c>
      <c r="E605" s="338" t="s">
        <v>5655</v>
      </c>
      <c r="F605" s="338" t="s">
        <v>1956</v>
      </c>
      <c r="G605" s="338">
        <v>62</v>
      </c>
      <c r="H605" s="338" t="s">
        <v>425</v>
      </c>
      <c r="I605" s="338" t="s">
        <v>411</v>
      </c>
      <c r="J605" s="339"/>
      <c r="K605" s="339"/>
      <c r="L605" s="339">
        <v>1.6178600000000001</v>
      </c>
      <c r="M605" s="339">
        <v>11.124700000000001</v>
      </c>
      <c r="N605" s="338"/>
      <c r="O605" s="338" t="s">
        <v>432</v>
      </c>
      <c r="P605" s="338" t="s">
        <v>417</v>
      </c>
    </row>
    <row r="606" spans="2:16" x14ac:dyDescent="0.25">
      <c r="B606" s="336" t="s">
        <v>459</v>
      </c>
      <c r="C606" s="337">
        <v>41320</v>
      </c>
      <c r="D606" s="338" t="s">
        <v>7677</v>
      </c>
      <c r="E606" s="338" t="s">
        <v>7676</v>
      </c>
      <c r="F606" s="338" t="s">
        <v>6198</v>
      </c>
      <c r="G606" s="338" t="s">
        <v>413</v>
      </c>
      <c r="H606" s="338" t="s">
        <v>425</v>
      </c>
      <c r="I606" s="338" t="s">
        <v>411</v>
      </c>
      <c r="J606" s="339"/>
      <c r="K606" s="339"/>
      <c r="L606" s="339">
        <v>1.9769399999999999</v>
      </c>
      <c r="M606" s="339">
        <v>8.8183500000000006</v>
      </c>
      <c r="N606" s="338" t="s">
        <v>417</v>
      </c>
      <c r="O606" s="338" t="s">
        <v>417</v>
      </c>
      <c r="P606" s="338" t="s">
        <v>417</v>
      </c>
    </row>
    <row r="607" spans="2:16" x14ac:dyDescent="0.25">
      <c r="B607" s="336" t="s">
        <v>416</v>
      </c>
      <c r="C607" s="337">
        <v>41318</v>
      </c>
      <c r="D607" s="338" t="s">
        <v>692</v>
      </c>
      <c r="E607" s="338" t="s">
        <v>925</v>
      </c>
      <c r="F607" s="338" t="s">
        <v>7675</v>
      </c>
      <c r="G607" s="338" t="s">
        <v>413</v>
      </c>
      <c r="H607" s="338" t="s">
        <v>425</v>
      </c>
      <c r="I607" s="338" t="s">
        <v>411</v>
      </c>
      <c r="J607" s="339"/>
      <c r="K607" s="339"/>
      <c r="L607" s="339"/>
      <c r="M607" s="339"/>
      <c r="N607" s="338"/>
      <c r="O607" s="338" t="s">
        <v>410</v>
      </c>
      <c r="P607" s="338" t="s">
        <v>417</v>
      </c>
    </row>
    <row r="608" spans="2:16" x14ac:dyDescent="0.25">
      <c r="B608" s="336" t="s">
        <v>459</v>
      </c>
      <c r="C608" s="337">
        <v>41318</v>
      </c>
      <c r="D608" s="338" t="s">
        <v>3168</v>
      </c>
      <c r="E608" s="338" t="s">
        <v>7674</v>
      </c>
      <c r="F608" s="338"/>
      <c r="G608" s="338">
        <v>175</v>
      </c>
      <c r="H608" s="338" t="s">
        <v>425</v>
      </c>
      <c r="I608" s="338" t="s">
        <v>411</v>
      </c>
      <c r="J608" s="339"/>
      <c r="K608" s="339"/>
      <c r="L608" s="339" t="s">
        <v>409</v>
      </c>
      <c r="M608" s="339" t="s">
        <v>409</v>
      </c>
      <c r="N608" s="338" t="s">
        <v>417</v>
      </c>
      <c r="O608" s="338" t="s">
        <v>409</v>
      </c>
      <c r="P608" s="338"/>
    </row>
    <row r="609" spans="2:16" x14ac:dyDescent="0.25">
      <c r="B609" s="336" t="s">
        <v>416</v>
      </c>
      <c r="C609" s="337">
        <v>41316</v>
      </c>
      <c r="D609" s="338" t="s">
        <v>7673</v>
      </c>
      <c r="E609" s="338" t="s">
        <v>5414</v>
      </c>
      <c r="F609" s="338" t="s">
        <v>7672</v>
      </c>
      <c r="G609" s="338" t="s">
        <v>413</v>
      </c>
      <c r="H609" s="338" t="s">
        <v>425</v>
      </c>
      <c r="I609" s="338" t="s">
        <v>411</v>
      </c>
      <c r="J609" s="339"/>
      <c r="K609" s="339"/>
      <c r="L609" s="339"/>
      <c r="M609" s="339"/>
      <c r="N609" s="338"/>
      <c r="O609" s="338" t="s">
        <v>885</v>
      </c>
      <c r="P609" s="338" t="s">
        <v>885</v>
      </c>
    </row>
    <row r="610" spans="2:16" x14ac:dyDescent="0.25">
      <c r="B610" s="336" t="s">
        <v>416</v>
      </c>
      <c r="C610" s="337">
        <v>41315</v>
      </c>
      <c r="D610" s="338" t="s">
        <v>7671</v>
      </c>
      <c r="E610" s="338" t="s">
        <v>2373</v>
      </c>
      <c r="F610" s="338" t="s">
        <v>7670</v>
      </c>
      <c r="G610" s="338" t="s">
        <v>413</v>
      </c>
      <c r="H610" s="338" t="s">
        <v>412</v>
      </c>
      <c r="I610" s="338" t="s">
        <v>411</v>
      </c>
      <c r="J610" s="339"/>
      <c r="K610" s="339"/>
      <c r="L610" s="339"/>
      <c r="M610" s="339"/>
      <c r="N610" s="338" t="s">
        <v>417</v>
      </c>
      <c r="O610" s="338" t="s">
        <v>443</v>
      </c>
      <c r="P610" s="338" t="s">
        <v>443</v>
      </c>
    </row>
    <row r="611" spans="2:16" x14ac:dyDescent="0.25">
      <c r="B611" s="336" t="s">
        <v>416</v>
      </c>
      <c r="C611" s="337">
        <v>41313</v>
      </c>
      <c r="D611" s="338" t="s">
        <v>882</v>
      </c>
      <c r="E611" s="338" t="s">
        <v>7669</v>
      </c>
      <c r="F611" s="338"/>
      <c r="G611" s="338" t="s">
        <v>413</v>
      </c>
      <c r="H611" s="338" t="s">
        <v>412</v>
      </c>
      <c r="I611" s="338" t="s">
        <v>411</v>
      </c>
      <c r="J611" s="339"/>
      <c r="K611" s="339"/>
      <c r="L611" s="339" t="s">
        <v>409</v>
      </c>
      <c r="M611" s="339" t="s">
        <v>409</v>
      </c>
      <c r="N611" s="338" t="s">
        <v>417</v>
      </c>
      <c r="O611" s="338" t="s">
        <v>409</v>
      </c>
      <c r="P611" s="338" t="s">
        <v>432</v>
      </c>
    </row>
    <row r="612" spans="2:16" x14ac:dyDescent="0.25">
      <c r="B612" s="336" t="s">
        <v>416</v>
      </c>
      <c r="C612" s="337">
        <v>41312</v>
      </c>
      <c r="D612" s="338" t="s">
        <v>7668</v>
      </c>
      <c r="E612" s="338" t="s">
        <v>6204</v>
      </c>
      <c r="F612" s="338" t="s">
        <v>1956</v>
      </c>
      <c r="G612" s="338">
        <v>764.44</v>
      </c>
      <c r="H612" s="338" t="s">
        <v>425</v>
      </c>
      <c r="I612" s="338" t="s">
        <v>411</v>
      </c>
      <c r="J612" s="339"/>
      <c r="K612" s="339"/>
      <c r="L612" s="339">
        <v>1.6178600000000001</v>
      </c>
      <c r="M612" s="339">
        <v>11.124700000000001</v>
      </c>
      <c r="N612" s="338" t="s">
        <v>417</v>
      </c>
      <c r="O612" s="338" t="s">
        <v>432</v>
      </c>
      <c r="P612" s="338" t="s">
        <v>443</v>
      </c>
    </row>
    <row r="613" spans="2:16" x14ac:dyDescent="0.25">
      <c r="B613" s="336" t="s">
        <v>416</v>
      </c>
      <c r="C613" s="337">
        <v>41312</v>
      </c>
      <c r="D613" s="338" t="s">
        <v>7667</v>
      </c>
      <c r="E613" s="338" t="s">
        <v>7666</v>
      </c>
      <c r="F613" s="338" t="s">
        <v>7665</v>
      </c>
      <c r="G613" s="338" t="s">
        <v>413</v>
      </c>
      <c r="H613" s="338" t="s">
        <v>425</v>
      </c>
      <c r="I613" s="338" t="s">
        <v>411</v>
      </c>
      <c r="J613" s="339"/>
      <c r="K613" s="339"/>
      <c r="L613" s="339"/>
      <c r="M613" s="339"/>
      <c r="N613" s="338"/>
      <c r="O613" s="338" t="s">
        <v>417</v>
      </c>
      <c r="P613" s="338" t="s">
        <v>432</v>
      </c>
    </row>
    <row r="614" spans="2:16" x14ac:dyDescent="0.25">
      <c r="B614" s="336" t="s">
        <v>416</v>
      </c>
      <c r="C614" s="337">
        <v>41311</v>
      </c>
      <c r="D614" s="338" t="s">
        <v>2846</v>
      </c>
      <c r="E614" s="338" t="s">
        <v>916</v>
      </c>
      <c r="F614" s="338"/>
      <c r="G614" s="338">
        <v>68.010000000000005</v>
      </c>
      <c r="H614" s="338" t="s">
        <v>425</v>
      </c>
      <c r="I614" s="338" t="s">
        <v>1243</v>
      </c>
      <c r="J614" s="339">
        <v>0.54333600000000004</v>
      </c>
      <c r="K614" s="339">
        <v>5.9554299999999998</v>
      </c>
      <c r="L614" s="339" t="s">
        <v>409</v>
      </c>
      <c r="M614" s="339" t="s">
        <v>409</v>
      </c>
      <c r="N614" s="338" t="s">
        <v>417</v>
      </c>
      <c r="O614" s="338" t="s">
        <v>409</v>
      </c>
      <c r="P614" s="338" t="s">
        <v>417</v>
      </c>
    </row>
    <row r="615" spans="2:16" x14ac:dyDescent="0.25">
      <c r="B615" s="336" t="s">
        <v>416</v>
      </c>
      <c r="C615" s="337">
        <v>41311</v>
      </c>
      <c r="D615" s="338" t="s">
        <v>4515</v>
      </c>
      <c r="E615" s="338" t="s">
        <v>7664</v>
      </c>
      <c r="F615" s="338" t="s">
        <v>1733</v>
      </c>
      <c r="G615" s="338">
        <v>55</v>
      </c>
      <c r="H615" s="338" t="s">
        <v>425</v>
      </c>
      <c r="I615" s="338" t="s">
        <v>411</v>
      </c>
      <c r="J615" s="339"/>
      <c r="K615" s="339"/>
      <c r="L615" s="339"/>
      <c r="M615" s="339"/>
      <c r="N615" s="338" t="s">
        <v>417</v>
      </c>
      <c r="O615" s="338" t="s">
        <v>443</v>
      </c>
      <c r="P615" s="338" t="s">
        <v>417</v>
      </c>
    </row>
    <row r="616" spans="2:16" x14ac:dyDescent="0.25">
      <c r="B616" s="336" t="s">
        <v>459</v>
      </c>
      <c r="C616" s="337">
        <v>41310</v>
      </c>
      <c r="D616" s="338" t="s">
        <v>7663</v>
      </c>
      <c r="E616" s="338" t="s">
        <v>7662</v>
      </c>
      <c r="F616" s="338"/>
      <c r="G616" s="338">
        <v>2</v>
      </c>
      <c r="H616" s="338" t="s">
        <v>425</v>
      </c>
      <c r="I616" s="338" t="s">
        <v>411</v>
      </c>
      <c r="J616" s="339"/>
      <c r="K616" s="339"/>
      <c r="L616" s="339" t="s">
        <v>409</v>
      </c>
      <c r="M616" s="339" t="s">
        <v>409</v>
      </c>
      <c r="N616" s="338" t="s">
        <v>417</v>
      </c>
      <c r="O616" s="338" t="s">
        <v>409</v>
      </c>
      <c r="P616" s="338"/>
    </row>
    <row r="617" spans="2:16" x14ac:dyDescent="0.25">
      <c r="B617" s="336" t="s">
        <v>416</v>
      </c>
      <c r="C617" s="337">
        <v>41310</v>
      </c>
      <c r="D617" s="338" t="s">
        <v>7661</v>
      </c>
      <c r="E617" s="338" t="s">
        <v>2626</v>
      </c>
      <c r="F617" s="338"/>
      <c r="G617" s="338" t="s">
        <v>413</v>
      </c>
      <c r="H617" s="338" t="s">
        <v>412</v>
      </c>
      <c r="I617" s="338" t="s">
        <v>411</v>
      </c>
      <c r="J617" s="339"/>
      <c r="K617" s="339"/>
      <c r="L617" s="339" t="s">
        <v>409</v>
      </c>
      <c r="M617" s="339" t="s">
        <v>409</v>
      </c>
      <c r="N617" s="338" t="s">
        <v>417</v>
      </c>
      <c r="O617" s="338" t="s">
        <v>409</v>
      </c>
      <c r="P617" s="338" t="s">
        <v>417</v>
      </c>
    </row>
    <row r="618" spans="2:16" x14ac:dyDescent="0.25">
      <c r="B618" s="336" t="s">
        <v>416</v>
      </c>
      <c r="C618" s="337">
        <v>41310</v>
      </c>
      <c r="D618" s="338" t="s">
        <v>3488</v>
      </c>
      <c r="E618" s="338" t="s">
        <v>2579</v>
      </c>
      <c r="F618" s="338" t="s">
        <v>7660</v>
      </c>
      <c r="G618" s="338" t="s">
        <v>413</v>
      </c>
      <c r="H618" s="338" t="s">
        <v>425</v>
      </c>
      <c r="I618" s="338" t="s">
        <v>1243</v>
      </c>
      <c r="J618" s="339"/>
      <c r="K618" s="339"/>
      <c r="L618" s="339"/>
      <c r="M618" s="339"/>
      <c r="N618" s="338"/>
      <c r="O618" s="338" t="s">
        <v>432</v>
      </c>
      <c r="P618" s="338" t="s">
        <v>417</v>
      </c>
    </row>
    <row r="619" spans="2:16" x14ac:dyDescent="0.25">
      <c r="B619" s="336" t="s">
        <v>416</v>
      </c>
      <c r="C619" s="337">
        <v>41309</v>
      </c>
      <c r="D619" s="338" t="s">
        <v>7659</v>
      </c>
      <c r="E619" s="338" t="s">
        <v>7658</v>
      </c>
      <c r="F619" s="338"/>
      <c r="G619" s="338" t="s">
        <v>413</v>
      </c>
      <c r="H619" s="338" t="s">
        <v>412</v>
      </c>
      <c r="I619" s="338" t="s">
        <v>411</v>
      </c>
      <c r="J619" s="339"/>
      <c r="K619" s="339"/>
      <c r="L619" s="339" t="s">
        <v>409</v>
      </c>
      <c r="M619" s="339" t="s">
        <v>409</v>
      </c>
      <c r="N619" s="338" t="s">
        <v>417</v>
      </c>
      <c r="O619" s="338" t="s">
        <v>409</v>
      </c>
      <c r="P619" s="338" t="s">
        <v>432</v>
      </c>
    </row>
    <row r="620" spans="2:16" x14ac:dyDescent="0.25">
      <c r="B620" s="336" t="s">
        <v>416</v>
      </c>
      <c r="C620" s="337">
        <v>41305</v>
      </c>
      <c r="D620" s="338" t="s">
        <v>7657</v>
      </c>
      <c r="E620" s="338" t="s">
        <v>2133</v>
      </c>
      <c r="F620" s="338"/>
      <c r="G620" s="338">
        <v>1449.26</v>
      </c>
      <c r="H620" s="338" t="s">
        <v>425</v>
      </c>
      <c r="I620" s="338" t="s">
        <v>411</v>
      </c>
      <c r="J620" s="339">
        <v>2.0444599999999999</v>
      </c>
      <c r="K620" s="339">
        <v>7.8286600000000002</v>
      </c>
      <c r="L620" s="339" t="s">
        <v>409</v>
      </c>
      <c r="M620" s="339" t="s">
        <v>409</v>
      </c>
      <c r="N620" s="338" t="s">
        <v>417</v>
      </c>
      <c r="O620" s="338" t="s">
        <v>409</v>
      </c>
      <c r="P620" s="338" t="s">
        <v>417</v>
      </c>
    </row>
    <row r="621" spans="2:16" x14ac:dyDescent="0.25">
      <c r="B621" s="336" t="s">
        <v>416</v>
      </c>
      <c r="C621" s="337">
        <v>41303</v>
      </c>
      <c r="D621" s="338" t="s">
        <v>7656</v>
      </c>
      <c r="E621" s="338" t="s">
        <v>7655</v>
      </c>
      <c r="F621" s="338"/>
      <c r="G621" s="338" t="s">
        <v>413</v>
      </c>
      <c r="H621" s="338" t="s">
        <v>425</v>
      </c>
      <c r="I621" s="338" t="s">
        <v>411</v>
      </c>
      <c r="J621" s="339"/>
      <c r="K621" s="339"/>
      <c r="L621" s="339" t="s">
        <v>409</v>
      </c>
      <c r="M621" s="339" t="s">
        <v>409</v>
      </c>
      <c r="N621" s="338" t="s">
        <v>417</v>
      </c>
      <c r="O621" s="338" t="s">
        <v>409</v>
      </c>
      <c r="P621" s="338" t="s">
        <v>443</v>
      </c>
    </row>
    <row r="622" spans="2:16" x14ac:dyDescent="0.25">
      <c r="B622" s="336" t="s">
        <v>416</v>
      </c>
      <c r="C622" s="337">
        <v>41303</v>
      </c>
      <c r="D622" s="338" t="s">
        <v>7654</v>
      </c>
      <c r="E622" s="338" t="s">
        <v>7653</v>
      </c>
      <c r="F622" s="338"/>
      <c r="G622" s="338">
        <v>19</v>
      </c>
      <c r="H622" s="338" t="s">
        <v>425</v>
      </c>
      <c r="I622" s="338" t="s">
        <v>411</v>
      </c>
      <c r="J622" s="339"/>
      <c r="K622" s="339"/>
      <c r="L622" s="339" t="s">
        <v>409</v>
      </c>
      <c r="M622" s="339" t="s">
        <v>409</v>
      </c>
      <c r="N622" s="338" t="s">
        <v>487</v>
      </c>
      <c r="O622" s="338" t="s">
        <v>409</v>
      </c>
      <c r="P622" s="338" t="s">
        <v>487</v>
      </c>
    </row>
    <row r="623" spans="2:16" x14ac:dyDescent="0.25">
      <c r="B623" s="336" t="s">
        <v>416</v>
      </c>
      <c r="C623" s="337">
        <v>41303</v>
      </c>
      <c r="D623" s="338" t="s">
        <v>7652</v>
      </c>
      <c r="E623" s="338" t="s">
        <v>7651</v>
      </c>
      <c r="F623" s="338" t="s">
        <v>4579</v>
      </c>
      <c r="G623" s="338" t="s">
        <v>413</v>
      </c>
      <c r="H623" s="338" t="s">
        <v>425</v>
      </c>
      <c r="I623" s="338" t="s">
        <v>411</v>
      </c>
      <c r="J623" s="339"/>
      <c r="K623" s="339"/>
      <c r="L623" s="339"/>
      <c r="M623" s="339"/>
      <c r="N623" s="338" t="s">
        <v>417</v>
      </c>
      <c r="O623" s="338" t="s">
        <v>417</v>
      </c>
      <c r="P623" s="338" t="s">
        <v>612</v>
      </c>
    </row>
    <row r="624" spans="2:16" x14ac:dyDescent="0.25">
      <c r="B624" s="336" t="s">
        <v>416</v>
      </c>
      <c r="C624" s="337">
        <v>41302</v>
      </c>
      <c r="D624" s="338" t="s">
        <v>7650</v>
      </c>
      <c r="E624" s="338" t="s">
        <v>7649</v>
      </c>
      <c r="F624" s="338" t="s">
        <v>7242</v>
      </c>
      <c r="G624" s="338">
        <v>50</v>
      </c>
      <c r="H624" s="338" t="s">
        <v>418</v>
      </c>
      <c r="I624" s="338" t="s">
        <v>411</v>
      </c>
      <c r="J624" s="339"/>
      <c r="K624" s="339"/>
      <c r="L624" s="339">
        <v>1.1663600000000001</v>
      </c>
      <c r="M624" s="339">
        <v>11.652200000000001</v>
      </c>
      <c r="N624" s="338" t="s">
        <v>417</v>
      </c>
      <c r="O624" s="338" t="s">
        <v>417</v>
      </c>
      <c r="P624" s="338" t="s">
        <v>410</v>
      </c>
    </row>
    <row r="625" spans="2:16" x14ac:dyDescent="0.25">
      <c r="B625" s="336" t="s">
        <v>416</v>
      </c>
      <c r="C625" s="337">
        <v>41302</v>
      </c>
      <c r="D625" s="338" t="s">
        <v>7648</v>
      </c>
      <c r="E625" s="338" t="s">
        <v>7647</v>
      </c>
      <c r="F625" s="338"/>
      <c r="G625" s="338" t="s">
        <v>413</v>
      </c>
      <c r="H625" s="338" t="s">
        <v>412</v>
      </c>
      <c r="I625" s="338" t="s">
        <v>411</v>
      </c>
      <c r="J625" s="339"/>
      <c r="K625" s="339"/>
      <c r="L625" s="339" t="s">
        <v>409</v>
      </c>
      <c r="M625" s="339" t="s">
        <v>409</v>
      </c>
      <c r="N625" s="338" t="s">
        <v>410</v>
      </c>
      <c r="O625" s="338" t="s">
        <v>409</v>
      </c>
      <c r="P625" s="338" t="s">
        <v>417</v>
      </c>
    </row>
    <row r="626" spans="2:16" x14ac:dyDescent="0.25">
      <c r="B626" s="336" t="s">
        <v>459</v>
      </c>
      <c r="C626" s="337">
        <v>41302</v>
      </c>
      <c r="D626" s="338" t="s">
        <v>7646</v>
      </c>
      <c r="E626" s="338" t="s">
        <v>7645</v>
      </c>
      <c r="F626" s="338"/>
      <c r="G626" s="338">
        <v>20</v>
      </c>
      <c r="H626" s="338" t="s">
        <v>425</v>
      </c>
      <c r="I626" s="338" t="s">
        <v>411</v>
      </c>
      <c r="J626" s="339"/>
      <c r="K626" s="339"/>
      <c r="L626" s="339" t="s">
        <v>409</v>
      </c>
      <c r="M626" s="339" t="s">
        <v>409</v>
      </c>
      <c r="N626" s="338" t="s">
        <v>417</v>
      </c>
      <c r="O626" s="338" t="s">
        <v>409</v>
      </c>
      <c r="P626" s="338"/>
    </row>
    <row r="627" spans="2:16" x14ac:dyDescent="0.25">
      <c r="B627" s="336" t="s">
        <v>416</v>
      </c>
      <c r="C627" s="337">
        <v>41302</v>
      </c>
      <c r="D627" s="338" t="s">
        <v>7644</v>
      </c>
      <c r="E627" s="338" t="s">
        <v>7643</v>
      </c>
      <c r="F627" s="338"/>
      <c r="G627" s="338" t="s">
        <v>413</v>
      </c>
      <c r="H627" s="338" t="s">
        <v>412</v>
      </c>
      <c r="I627" s="338" t="s">
        <v>1243</v>
      </c>
      <c r="J627" s="339"/>
      <c r="K627" s="339"/>
      <c r="L627" s="339" t="s">
        <v>409</v>
      </c>
      <c r="M627" s="339" t="s">
        <v>409</v>
      </c>
      <c r="N627" s="338" t="s">
        <v>432</v>
      </c>
      <c r="O627" s="338" t="s">
        <v>409</v>
      </c>
      <c r="P627" s="338" t="s">
        <v>417</v>
      </c>
    </row>
    <row r="628" spans="2:16" x14ac:dyDescent="0.25">
      <c r="B628" s="336" t="s">
        <v>416</v>
      </c>
      <c r="C628" s="337">
        <v>41302</v>
      </c>
      <c r="D628" s="338" t="s">
        <v>7642</v>
      </c>
      <c r="E628" s="338" t="s">
        <v>7641</v>
      </c>
      <c r="F628" s="338" t="s">
        <v>7640</v>
      </c>
      <c r="G628" s="338" t="s">
        <v>413</v>
      </c>
      <c r="H628" s="338" t="s">
        <v>412</v>
      </c>
      <c r="I628" s="338" t="s">
        <v>411</v>
      </c>
      <c r="J628" s="339"/>
      <c r="K628" s="339"/>
      <c r="L628" s="339"/>
      <c r="M628" s="339"/>
      <c r="N628" s="338" t="s">
        <v>410</v>
      </c>
      <c r="O628" s="338" t="s">
        <v>410</v>
      </c>
      <c r="P628" s="338" t="s">
        <v>410</v>
      </c>
    </row>
    <row r="629" spans="2:16" x14ac:dyDescent="0.25">
      <c r="B629" s="336" t="s">
        <v>416</v>
      </c>
      <c r="C629" s="337">
        <v>41298</v>
      </c>
      <c r="D629" s="338" t="s">
        <v>7639</v>
      </c>
      <c r="E629" s="338" t="s">
        <v>7403</v>
      </c>
      <c r="F629" s="338"/>
      <c r="G629" s="338">
        <v>350</v>
      </c>
      <c r="H629" s="338" t="s">
        <v>425</v>
      </c>
      <c r="I629" s="338" t="s">
        <v>411</v>
      </c>
      <c r="J629" s="339"/>
      <c r="K629" s="339"/>
      <c r="L629" s="339" t="s">
        <v>409</v>
      </c>
      <c r="M629" s="339" t="s">
        <v>409</v>
      </c>
      <c r="N629" s="338" t="s">
        <v>417</v>
      </c>
      <c r="O629" s="338" t="s">
        <v>409</v>
      </c>
      <c r="P629" s="338" t="s">
        <v>417</v>
      </c>
    </row>
    <row r="630" spans="2:16" x14ac:dyDescent="0.25">
      <c r="B630" s="336" t="s">
        <v>459</v>
      </c>
      <c r="C630" s="337">
        <v>41297</v>
      </c>
      <c r="D630" s="338" t="s">
        <v>7638</v>
      </c>
      <c r="E630" s="338" t="s">
        <v>514</v>
      </c>
      <c r="F630" s="338"/>
      <c r="G630" s="338" t="s">
        <v>413</v>
      </c>
      <c r="H630" s="338" t="s">
        <v>425</v>
      </c>
      <c r="I630" s="338" t="s">
        <v>411</v>
      </c>
      <c r="J630" s="339"/>
      <c r="K630" s="339"/>
      <c r="L630" s="339" t="s">
        <v>409</v>
      </c>
      <c r="M630" s="339" t="s">
        <v>409</v>
      </c>
      <c r="N630" s="338" t="s">
        <v>410</v>
      </c>
      <c r="O630" s="338" t="s">
        <v>409</v>
      </c>
      <c r="P630" s="338"/>
    </row>
    <row r="631" spans="2:16" x14ac:dyDescent="0.25">
      <c r="B631" s="336" t="s">
        <v>416</v>
      </c>
      <c r="C631" s="337">
        <v>41291</v>
      </c>
      <c r="D631" s="338" t="s">
        <v>7637</v>
      </c>
      <c r="E631" s="338" t="s">
        <v>6985</v>
      </c>
      <c r="F631" s="338"/>
      <c r="G631" s="338" t="s">
        <v>413</v>
      </c>
      <c r="H631" s="338" t="s">
        <v>412</v>
      </c>
      <c r="I631" s="338" t="s">
        <v>411</v>
      </c>
      <c r="J631" s="339"/>
      <c r="K631" s="339"/>
      <c r="L631" s="339" t="s">
        <v>409</v>
      </c>
      <c r="M631" s="339" t="s">
        <v>409</v>
      </c>
      <c r="N631" s="338"/>
      <c r="O631" s="338" t="s">
        <v>409</v>
      </c>
      <c r="P631" s="338" t="s">
        <v>417</v>
      </c>
    </row>
    <row r="632" spans="2:16" x14ac:dyDescent="0.25">
      <c r="B632" s="336" t="s">
        <v>416</v>
      </c>
      <c r="C632" s="337">
        <v>41291</v>
      </c>
      <c r="D632" s="338" t="s">
        <v>7636</v>
      </c>
      <c r="E632" s="338" t="s">
        <v>5488</v>
      </c>
      <c r="F632" s="338"/>
      <c r="G632" s="338" t="s">
        <v>413</v>
      </c>
      <c r="H632" s="338" t="s">
        <v>412</v>
      </c>
      <c r="I632" s="338" t="s">
        <v>1243</v>
      </c>
      <c r="J632" s="339">
        <v>6.4332599999999998</v>
      </c>
      <c r="K632" s="339"/>
      <c r="L632" s="339" t="s">
        <v>409</v>
      </c>
      <c r="M632" s="339" t="s">
        <v>409</v>
      </c>
      <c r="N632" s="338" t="s">
        <v>605</v>
      </c>
      <c r="O632" s="338" t="s">
        <v>409</v>
      </c>
      <c r="P632" s="338" t="s">
        <v>417</v>
      </c>
    </row>
    <row r="633" spans="2:16" x14ac:dyDescent="0.25">
      <c r="B633" s="336" t="s">
        <v>416</v>
      </c>
      <c r="C633" s="337">
        <v>41290</v>
      </c>
      <c r="D633" s="338" t="s">
        <v>7635</v>
      </c>
      <c r="E633" s="338" t="s">
        <v>7634</v>
      </c>
      <c r="F633" s="338"/>
      <c r="G633" s="338" t="s">
        <v>413</v>
      </c>
      <c r="H633" s="338" t="s">
        <v>412</v>
      </c>
      <c r="I633" s="338" t="s">
        <v>411</v>
      </c>
      <c r="J633" s="339"/>
      <c r="K633" s="339"/>
      <c r="L633" s="339" t="s">
        <v>409</v>
      </c>
      <c r="M633" s="339" t="s">
        <v>409</v>
      </c>
      <c r="N633" s="338" t="s">
        <v>417</v>
      </c>
      <c r="O633" s="338" t="s">
        <v>409</v>
      </c>
      <c r="P633" s="338" t="s">
        <v>443</v>
      </c>
    </row>
    <row r="634" spans="2:16" x14ac:dyDescent="0.25">
      <c r="B634" s="336" t="s">
        <v>459</v>
      </c>
      <c r="C634" s="337">
        <v>41290</v>
      </c>
      <c r="D634" s="338" t="s">
        <v>6224</v>
      </c>
      <c r="E634" s="338" t="s">
        <v>7633</v>
      </c>
      <c r="F634" s="338"/>
      <c r="G634" s="338">
        <v>75</v>
      </c>
      <c r="H634" s="338" t="s">
        <v>425</v>
      </c>
      <c r="I634" s="338" t="s">
        <v>411</v>
      </c>
      <c r="J634" s="339"/>
      <c r="K634" s="339"/>
      <c r="L634" s="339" t="s">
        <v>409</v>
      </c>
      <c r="M634" s="339" t="s">
        <v>409</v>
      </c>
      <c r="N634" s="338" t="s">
        <v>408</v>
      </c>
      <c r="O634" s="338" t="s">
        <v>409</v>
      </c>
      <c r="P634" s="338"/>
    </row>
    <row r="635" spans="2:16" x14ac:dyDescent="0.25">
      <c r="B635" s="336" t="s">
        <v>459</v>
      </c>
      <c r="C635" s="337">
        <v>41290</v>
      </c>
      <c r="D635" s="338" t="s">
        <v>7632</v>
      </c>
      <c r="E635" s="338" t="s">
        <v>7631</v>
      </c>
      <c r="F635" s="338"/>
      <c r="G635" s="338">
        <v>7.5</v>
      </c>
      <c r="H635" s="338" t="s">
        <v>425</v>
      </c>
      <c r="I635" s="338" t="s">
        <v>411</v>
      </c>
      <c r="J635" s="339"/>
      <c r="K635" s="339"/>
      <c r="L635" s="339" t="s">
        <v>409</v>
      </c>
      <c r="M635" s="339" t="s">
        <v>409</v>
      </c>
      <c r="N635" s="338" t="s">
        <v>417</v>
      </c>
      <c r="O635" s="338" t="s">
        <v>409</v>
      </c>
      <c r="P635" s="338"/>
    </row>
    <row r="636" spans="2:16" x14ac:dyDescent="0.25">
      <c r="B636" s="336" t="s">
        <v>416</v>
      </c>
      <c r="C636" s="337">
        <v>41290</v>
      </c>
      <c r="D636" s="338" t="s">
        <v>7630</v>
      </c>
      <c r="E636" s="338" t="s">
        <v>7629</v>
      </c>
      <c r="F636" s="338"/>
      <c r="G636" s="338">
        <v>134.94</v>
      </c>
      <c r="H636" s="338" t="s">
        <v>425</v>
      </c>
      <c r="I636" s="338" t="s">
        <v>411</v>
      </c>
      <c r="J636" s="339">
        <v>0.351684</v>
      </c>
      <c r="K636" s="339"/>
      <c r="L636" s="339" t="s">
        <v>409</v>
      </c>
      <c r="M636" s="339" t="s">
        <v>409</v>
      </c>
      <c r="N636" s="338" t="s">
        <v>417</v>
      </c>
      <c r="O636" s="338" t="s">
        <v>409</v>
      </c>
      <c r="P636" s="338" t="s">
        <v>417</v>
      </c>
    </row>
    <row r="637" spans="2:16" x14ac:dyDescent="0.25">
      <c r="B637" s="336" t="s">
        <v>416</v>
      </c>
      <c r="C637" s="337">
        <v>41289</v>
      </c>
      <c r="D637" s="338" t="s">
        <v>7628</v>
      </c>
      <c r="E637" s="338" t="s">
        <v>7627</v>
      </c>
      <c r="F637" s="338"/>
      <c r="G637" s="338" t="s">
        <v>413</v>
      </c>
      <c r="H637" s="338" t="s">
        <v>412</v>
      </c>
      <c r="I637" s="338" t="s">
        <v>411</v>
      </c>
      <c r="J637" s="339"/>
      <c r="K637" s="339"/>
      <c r="L637" s="339" t="s">
        <v>409</v>
      </c>
      <c r="M637" s="339" t="s">
        <v>409</v>
      </c>
      <c r="N637" s="338" t="s">
        <v>417</v>
      </c>
      <c r="O637" s="338" t="s">
        <v>409</v>
      </c>
      <c r="P637" s="338" t="s">
        <v>410</v>
      </c>
    </row>
    <row r="638" spans="2:16" x14ac:dyDescent="0.25">
      <c r="B638" s="336" t="s">
        <v>416</v>
      </c>
      <c r="C638" s="337">
        <v>41289</v>
      </c>
      <c r="D638" s="338" t="s">
        <v>7626</v>
      </c>
      <c r="E638" s="338" t="s">
        <v>808</v>
      </c>
      <c r="F638" s="338"/>
      <c r="G638" s="338" t="s">
        <v>413</v>
      </c>
      <c r="H638" s="338" t="s">
        <v>412</v>
      </c>
      <c r="I638" s="338" t="s">
        <v>411</v>
      </c>
      <c r="J638" s="339"/>
      <c r="K638" s="339"/>
      <c r="L638" s="339" t="s">
        <v>409</v>
      </c>
      <c r="M638" s="339" t="s">
        <v>409</v>
      </c>
      <c r="N638" s="338" t="s">
        <v>417</v>
      </c>
      <c r="O638" s="338" t="s">
        <v>409</v>
      </c>
      <c r="P638" s="338" t="s">
        <v>417</v>
      </c>
    </row>
    <row r="639" spans="2:16" x14ac:dyDescent="0.25">
      <c r="B639" s="336" t="s">
        <v>416</v>
      </c>
      <c r="C639" s="337">
        <v>41289</v>
      </c>
      <c r="D639" s="338" t="s">
        <v>7625</v>
      </c>
      <c r="E639" s="338" t="s">
        <v>7624</v>
      </c>
      <c r="F639" s="338"/>
      <c r="G639" s="338" t="s">
        <v>413</v>
      </c>
      <c r="H639" s="338" t="s">
        <v>412</v>
      </c>
      <c r="I639" s="338" t="s">
        <v>411</v>
      </c>
      <c r="J639" s="339"/>
      <c r="K639" s="339"/>
      <c r="L639" s="339" t="s">
        <v>409</v>
      </c>
      <c r="M639" s="339" t="s">
        <v>409</v>
      </c>
      <c r="N639" s="338" t="s">
        <v>410</v>
      </c>
      <c r="O639" s="338" t="s">
        <v>409</v>
      </c>
      <c r="P639" s="338" t="s">
        <v>443</v>
      </c>
    </row>
    <row r="640" spans="2:16" x14ac:dyDescent="0.25">
      <c r="B640" s="336" t="s">
        <v>416</v>
      </c>
      <c r="C640" s="337">
        <v>41288</v>
      </c>
      <c r="D640" s="338" t="s">
        <v>7623</v>
      </c>
      <c r="E640" s="338" t="s">
        <v>2197</v>
      </c>
      <c r="F640" s="338" t="s">
        <v>7622</v>
      </c>
      <c r="G640" s="338">
        <v>152</v>
      </c>
      <c r="H640" s="338" t="s">
        <v>425</v>
      </c>
      <c r="I640" s="338" t="s">
        <v>411</v>
      </c>
      <c r="J640" s="339"/>
      <c r="K640" s="339"/>
      <c r="L640" s="339"/>
      <c r="M640" s="339"/>
      <c r="N640" s="338" t="s">
        <v>417</v>
      </c>
      <c r="O640" s="338" t="s">
        <v>443</v>
      </c>
      <c r="P640" s="338" t="s">
        <v>410</v>
      </c>
    </row>
    <row r="641" spans="2:16" x14ac:dyDescent="0.25">
      <c r="B641" s="336" t="s">
        <v>416</v>
      </c>
      <c r="C641" s="337">
        <v>41288</v>
      </c>
      <c r="D641" s="338" t="s">
        <v>7621</v>
      </c>
      <c r="E641" s="338" t="s">
        <v>4600</v>
      </c>
      <c r="F641" s="338" t="s">
        <v>7620</v>
      </c>
      <c r="G641" s="338" t="s">
        <v>413</v>
      </c>
      <c r="H641" s="338" t="s">
        <v>336</v>
      </c>
      <c r="I641" s="338" t="s">
        <v>411</v>
      </c>
      <c r="J641" s="339"/>
      <c r="K641" s="339"/>
      <c r="L641" s="339">
        <v>2.0753599999999999</v>
      </c>
      <c r="M641" s="339">
        <v>11.1157</v>
      </c>
      <c r="N641" s="338"/>
      <c r="O641" s="338" t="s">
        <v>410</v>
      </c>
      <c r="P641" s="338" t="s">
        <v>417</v>
      </c>
    </row>
    <row r="642" spans="2:16" x14ac:dyDescent="0.25">
      <c r="B642" s="336" t="s">
        <v>416</v>
      </c>
      <c r="C642" s="337">
        <v>41288</v>
      </c>
      <c r="D642" s="338" t="s">
        <v>7619</v>
      </c>
      <c r="E642" s="338" t="s">
        <v>7618</v>
      </c>
      <c r="F642" s="338"/>
      <c r="G642" s="338" t="s">
        <v>413</v>
      </c>
      <c r="H642" s="338" t="s">
        <v>425</v>
      </c>
      <c r="I642" s="338" t="s">
        <v>411</v>
      </c>
      <c r="J642" s="339"/>
      <c r="K642" s="339"/>
      <c r="L642" s="339" t="s">
        <v>409</v>
      </c>
      <c r="M642" s="339" t="s">
        <v>409</v>
      </c>
      <c r="N642" s="338" t="s">
        <v>487</v>
      </c>
      <c r="O642" s="338" t="s">
        <v>409</v>
      </c>
      <c r="P642" s="338" t="s">
        <v>443</v>
      </c>
    </row>
    <row r="643" spans="2:16" x14ac:dyDescent="0.25">
      <c r="B643" s="336" t="s">
        <v>416</v>
      </c>
      <c r="C643" s="337">
        <v>41288</v>
      </c>
      <c r="D643" s="338" t="s">
        <v>7617</v>
      </c>
      <c r="E643" s="338" t="s">
        <v>6123</v>
      </c>
      <c r="F643" s="338"/>
      <c r="G643" s="338" t="s">
        <v>413</v>
      </c>
      <c r="H643" s="338" t="s">
        <v>412</v>
      </c>
      <c r="I643" s="338" t="s">
        <v>411</v>
      </c>
      <c r="J643" s="339"/>
      <c r="K643" s="339"/>
      <c r="L643" s="339" t="s">
        <v>409</v>
      </c>
      <c r="M643" s="339" t="s">
        <v>409</v>
      </c>
      <c r="N643" s="338" t="s">
        <v>417</v>
      </c>
      <c r="O643" s="338" t="s">
        <v>409</v>
      </c>
      <c r="P643" s="338" t="s">
        <v>417</v>
      </c>
    </row>
    <row r="644" spans="2:16" x14ac:dyDescent="0.25">
      <c r="B644" s="336" t="s">
        <v>416</v>
      </c>
      <c r="C644" s="337">
        <v>41288</v>
      </c>
      <c r="D644" s="338" t="s">
        <v>2599</v>
      </c>
      <c r="E644" s="338" t="s">
        <v>7616</v>
      </c>
      <c r="F644" s="338" t="s">
        <v>2598</v>
      </c>
      <c r="G644" s="338">
        <v>1000</v>
      </c>
      <c r="H644" s="338" t="s">
        <v>425</v>
      </c>
      <c r="I644" s="338" t="s">
        <v>411</v>
      </c>
      <c r="J644" s="339"/>
      <c r="K644" s="339"/>
      <c r="L644" s="339">
        <v>1.7668299999999999</v>
      </c>
      <c r="M644" s="339">
        <v>5.3715000000000002</v>
      </c>
      <c r="N644" s="338" t="s">
        <v>417</v>
      </c>
      <c r="O644" s="338" t="s">
        <v>417</v>
      </c>
      <c r="P644" s="338" t="s">
        <v>417</v>
      </c>
    </row>
    <row r="645" spans="2:16" x14ac:dyDescent="0.25">
      <c r="B645" s="336" t="s">
        <v>459</v>
      </c>
      <c r="C645" s="337">
        <v>41285</v>
      </c>
      <c r="D645" s="338" t="s">
        <v>7615</v>
      </c>
      <c r="E645" s="338" t="s">
        <v>514</v>
      </c>
      <c r="F645" s="338"/>
      <c r="G645" s="338">
        <v>12.6</v>
      </c>
      <c r="H645" s="338" t="s">
        <v>425</v>
      </c>
      <c r="I645" s="338" t="s">
        <v>1243</v>
      </c>
      <c r="J645" s="339">
        <v>8.8154999999999997E-2</v>
      </c>
      <c r="K645" s="339">
        <v>2.21312</v>
      </c>
      <c r="L645" s="339" t="s">
        <v>409</v>
      </c>
      <c r="M645" s="339" t="s">
        <v>409</v>
      </c>
      <c r="N645" s="338" t="s">
        <v>417</v>
      </c>
      <c r="O645" s="338" t="s">
        <v>409</v>
      </c>
      <c r="P645" s="338"/>
    </row>
    <row r="646" spans="2:16" x14ac:dyDescent="0.25">
      <c r="B646" s="336" t="s">
        <v>416</v>
      </c>
      <c r="C646" s="337">
        <v>41284</v>
      </c>
      <c r="D646" s="338" t="s">
        <v>7614</v>
      </c>
      <c r="E646" s="338" t="s">
        <v>7613</v>
      </c>
      <c r="F646" s="338" t="s">
        <v>2012</v>
      </c>
      <c r="G646" s="338">
        <v>3300</v>
      </c>
      <c r="H646" s="338" t="s">
        <v>425</v>
      </c>
      <c r="I646" s="338" t="s">
        <v>411</v>
      </c>
      <c r="J646" s="339"/>
      <c r="K646" s="339"/>
      <c r="L646" s="339">
        <v>0.26979999999999998</v>
      </c>
      <c r="M646" s="339"/>
      <c r="N646" s="338" t="s">
        <v>417</v>
      </c>
      <c r="O646" s="338" t="s">
        <v>410</v>
      </c>
      <c r="P646" s="338"/>
    </row>
    <row r="647" spans="2:16" x14ac:dyDescent="0.25">
      <c r="B647" s="336" t="s">
        <v>416</v>
      </c>
      <c r="C647" s="337">
        <v>41284</v>
      </c>
      <c r="D647" s="338" t="s">
        <v>7612</v>
      </c>
      <c r="E647" s="338" t="s">
        <v>7056</v>
      </c>
      <c r="F647" s="338"/>
      <c r="G647" s="338">
        <v>10.1</v>
      </c>
      <c r="H647" s="338" t="s">
        <v>425</v>
      </c>
      <c r="I647" s="338" t="s">
        <v>411</v>
      </c>
      <c r="J647" s="339"/>
      <c r="K647" s="339"/>
      <c r="L647" s="339" t="s">
        <v>409</v>
      </c>
      <c r="M647" s="339" t="s">
        <v>409</v>
      </c>
      <c r="N647" s="338"/>
      <c r="O647" s="338" t="s">
        <v>409</v>
      </c>
      <c r="P647" s="338" t="s">
        <v>443</v>
      </c>
    </row>
    <row r="648" spans="2:16" x14ac:dyDescent="0.25">
      <c r="B648" s="336" t="s">
        <v>416</v>
      </c>
      <c r="C648" s="337">
        <v>41284</v>
      </c>
      <c r="D648" s="338" t="s">
        <v>7611</v>
      </c>
      <c r="E648" s="338" t="s">
        <v>7610</v>
      </c>
      <c r="F648" s="338"/>
      <c r="G648" s="338" t="s">
        <v>413</v>
      </c>
      <c r="H648" s="338" t="s">
        <v>412</v>
      </c>
      <c r="I648" s="338" t="s">
        <v>411</v>
      </c>
      <c r="J648" s="339"/>
      <c r="K648" s="339"/>
      <c r="L648" s="339" t="s">
        <v>409</v>
      </c>
      <c r="M648" s="339" t="s">
        <v>409</v>
      </c>
      <c r="N648" s="338" t="s">
        <v>410</v>
      </c>
      <c r="O648" s="338" t="s">
        <v>409</v>
      </c>
      <c r="P648" s="338" t="s">
        <v>443</v>
      </c>
    </row>
    <row r="649" spans="2:16" x14ac:dyDescent="0.25">
      <c r="B649" s="336" t="s">
        <v>416</v>
      </c>
      <c r="C649" s="337">
        <v>41284</v>
      </c>
      <c r="D649" s="338" t="s">
        <v>7609</v>
      </c>
      <c r="E649" s="338" t="s">
        <v>1456</v>
      </c>
      <c r="F649" s="338"/>
      <c r="G649" s="338" t="s">
        <v>413</v>
      </c>
      <c r="H649" s="338" t="s">
        <v>412</v>
      </c>
      <c r="I649" s="338" t="s">
        <v>411</v>
      </c>
      <c r="J649" s="339"/>
      <c r="K649" s="339"/>
      <c r="L649" s="339" t="s">
        <v>409</v>
      </c>
      <c r="M649" s="339" t="s">
        <v>409</v>
      </c>
      <c r="N649" s="338" t="s">
        <v>417</v>
      </c>
      <c r="O649" s="338" t="s">
        <v>409</v>
      </c>
      <c r="P649" s="338" t="s">
        <v>410</v>
      </c>
    </row>
    <row r="650" spans="2:16" x14ac:dyDescent="0.25">
      <c r="B650" s="336" t="s">
        <v>459</v>
      </c>
      <c r="C650" s="337">
        <v>41284</v>
      </c>
      <c r="D650" s="338" t="s">
        <v>7608</v>
      </c>
      <c r="E650" s="338" t="s">
        <v>669</v>
      </c>
      <c r="F650" s="338" t="s">
        <v>7607</v>
      </c>
      <c r="G650" s="338" t="s">
        <v>413</v>
      </c>
      <c r="H650" s="338" t="s">
        <v>412</v>
      </c>
      <c r="I650" s="338" t="s">
        <v>411</v>
      </c>
      <c r="J650" s="339"/>
      <c r="K650" s="339"/>
      <c r="L650" s="339">
        <v>2.4123399999999999</v>
      </c>
      <c r="M650" s="339">
        <v>5.8446300000000004</v>
      </c>
      <c r="N650" s="338" t="s">
        <v>417</v>
      </c>
      <c r="O650" s="338" t="s">
        <v>432</v>
      </c>
      <c r="P650" s="338"/>
    </row>
    <row r="651" spans="2:16" x14ac:dyDescent="0.25">
      <c r="B651" s="336" t="s">
        <v>416</v>
      </c>
      <c r="C651" s="337">
        <v>41283</v>
      </c>
      <c r="D651" s="338" t="s">
        <v>3488</v>
      </c>
      <c r="E651" s="338" t="s">
        <v>7606</v>
      </c>
      <c r="F651" s="338" t="s">
        <v>7605</v>
      </c>
      <c r="G651" s="338">
        <v>8</v>
      </c>
      <c r="H651" s="338" t="s">
        <v>425</v>
      </c>
      <c r="I651" s="338" t="s">
        <v>1243</v>
      </c>
      <c r="J651" s="339"/>
      <c r="K651" s="339"/>
      <c r="L651" s="339">
        <v>0.282497</v>
      </c>
      <c r="M651" s="339">
        <v>6.6492800000000001</v>
      </c>
      <c r="N651" s="338"/>
      <c r="O651" s="338" t="s">
        <v>417</v>
      </c>
      <c r="P651" s="338" t="s">
        <v>410</v>
      </c>
    </row>
    <row r="652" spans="2:16" x14ac:dyDescent="0.25">
      <c r="B652" s="336" t="s">
        <v>416</v>
      </c>
      <c r="C652" s="337">
        <v>41283</v>
      </c>
      <c r="D652" s="338" t="s">
        <v>5872</v>
      </c>
      <c r="E652" s="338" t="s">
        <v>2023</v>
      </c>
      <c r="F652" s="338" t="s">
        <v>1705</v>
      </c>
      <c r="G652" s="338" t="s">
        <v>413</v>
      </c>
      <c r="H652" s="338" t="s">
        <v>425</v>
      </c>
      <c r="I652" s="338" t="s">
        <v>411</v>
      </c>
      <c r="J652" s="339"/>
      <c r="K652" s="339"/>
      <c r="L652" s="339"/>
      <c r="M652" s="339"/>
      <c r="N652" s="338" t="s">
        <v>410</v>
      </c>
      <c r="O652" s="338" t="s">
        <v>443</v>
      </c>
      <c r="P652" s="338" t="s">
        <v>443</v>
      </c>
    </row>
    <row r="653" spans="2:16" x14ac:dyDescent="0.25">
      <c r="B653" s="336" t="s">
        <v>416</v>
      </c>
      <c r="C653" s="337">
        <v>41282</v>
      </c>
      <c r="D653" s="338" t="s">
        <v>7604</v>
      </c>
      <c r="E653" s="338" t="s">
        <v>7603</v>
      </c>
      <c r="F653" s="338" t="s">
        <v>4536</v>
      </c>
      <c r="G653" s="338" t="s">
        <v>413</v>
      </c>
      <c r="H653" s="338" t="s">
        <v>425</v>
      </c>
      <c r="I653" s="338" t="s">
        <v>411</v>
      </c>
      <c r="J653" s="339"/>
      <c r="K653" s="339"/>
      <c r="L653" s="339"/>
      <c r="M653" s="339"/>
      <c r="N653" s="338"/>
      <c r="O653" s="338" t="s">
        <v>410</v>
      </c>
      <c r="P653" s="338" t="s">
        <v>443</v>
      </c>
    </row>
    <row r="654" spans="2:16" x14ac:dyDescent="0.25">
      <c r="B654" s="336" t="s">
        <v>416</v>
      </c>
      <c r="C654" s="337">
        <v>41282</v>
      </c>
      <c r="D654" s="338" t="s">
        <v>7602</v>
      </c>
      <c r="E654" s="338" t="s">
        <v>7601</v>
      </c>
      <c r="F654" s="338"/>
      <c r="G654" s="338" t="s">
        <v>413</v>
      </c>
      <c r="H654" s="338" t="s">
        <v>412</v>
      </c>
      <c r="I654" s="338" t="s">
        <v>411</v>
      </c>
      <c r="J654" s="339"/>
      <c r="K654" s="339"/>
      <c r="L654" s="339" t="s">
        <v>409</v>
      </c>
      <c r="M654" s="339" t="s">
        <v>409</v>
      </c>
      <c r="N654" s="338" t="s">
        <v>417</v>
      </c>
      <c r="O654" s="338" t="s">
        <v>409</v>
      </c>
      <c r="P654" s="338" t="s">
        <v>417</v>
      </c>
    </row>
    <row r="655" spans="2:16" x14ac:dyDescent="0.25">
      <c r="B655" s="336" t="s">
        <v>416</v>
      </c>
      <c r="C655" s="337">
        <v>41282</v>
      </c>
      <c r="D655" s="338" t="s">
        <v>7600</v>
      </c>
      <c r="E655" s="338" t="s">
        <v>7599</v>
      </c>
      <c r="F655" s="338"/>
      <c r="G655" s="338" t="s">
        <v>413</v>
      </c>
      <c r="H655" s="338" t="s">
        <v>412</v>
      </c>
      <c r="I655" s="338" t="s">
        <v>411</v>
      </c>
      <c r="J655" s="339"/>
      <c r="K655" s="339"/>
      <c r="L655" s="339" t="s">
        <v>409</v>
      </c>
      <c r="M655" s="339" t="s">
        <v>409</v>
      </c>
      <c r="N655" s="338" t="s">
        <v>417</v>
      </c>
      <c r="O655" s="338" t="s">
        <v>409</v>
      </c>
      <c r="P655" s="338" t="s">
        <v>417</v>
      </c>
    </row>
    <row r="656" spans="2:16" x14ac:dyDescent="0.25">
      <c r="B656" s="336" t="s">
        <v>416</v>
      </c>
      <c r="C656" s="337">
        <v>41281</v>
      </c>
      <c r="D656" s="338" t="s">
        <v>7598</v>
      </c>
      <c r="E656" s="338" t="s">
        <v>948</v>
      </c>
      <c r="F656" s="338"/>
      <c r="G656" s="338" t="s">
        <v>413</v>
      </c>
      <c r="H656" s="338" t="s">
        <v>412</v>
      </c>
      <c r="I656" s="338" t="s">
        <v>411</v>
      </c>
      <c r="J656" s="339"/>
      <c r="K656" s="339"/>
      <c r="L656" s="339" t="s">
        <v>409</v>
      </c>
      <c r="M656" s="339" t="s">
        <v>409</v>
      </c>
      <c r="N656" s="338" t="s">
        <v>432</v>
      </c>
      <c r="O656" s="338" t="s">
        <v>409</v>
      </c>
      <c r="P656" s="338" t="s">
        <v>417</v>
      </c>
    </row>
    <row r="657" spans="2:16" x14ac:dyDescent="0.25">
      <c r="B657" s="336" t="s">
        <v>416</v>
      </c>
      <c r="C657" s="337">
        <v>41278</v>
      </c>
      <c r="D657" s="338" t="s">
        <v>7597</v>
      </c>
      <c r="E657" s="338" t="s">
        <v>6864</v>
      </c>
      <c r="F657" s="338"/>
      <c r="G657" s="338" t="s">
        <v>413</v>
      </c>
      <c r="H657" s="338" t="s">
        <v>412</v>
      </c>
      <c r="I657" s="338" t="s">
        <v>411</v>
      </c>
      <c r="J657" s="339"/>
      <c r="K657" s="339"/>
      <c r="L657" s="339" t="s">
        <v>409</v>
      </c>
      <c r="M657" s="339" t="s">
        <v>409</v>
      </c>
      <c r="N657" s="338" t="s">
        <v>432</v>
      </c>
      <c r="O657" s="338" t="s">
        <v>409</v>
      </c>
      <c r="P657" s="338" t="s">
        <v>417</v>
      </c>
    </row>
    <row r="658" spans="2:16" x14ac:dyDescent="0.25">
      <c r="B658" s="336" t="s">
        <v>416</v>
      </c>
      <c r="C658" s="337">
        <v>41278</v>
      </c>
      <c r="D658" s="338" t="s">
        <v>7596</v>
      </c>
      <c r="E658" s="338" t="s">
        <v>7005</v>
      </c>
      <c r="F658" s="338"/>
      <c r="G658" s="338" t="s">
        <v>413</v>
      </c>
      <c r="H658" s="338" t="s">
        <v>412</v>
      </c>
      <c r="I658" s="338" t="s">
        <v>411</v>
      </c>
      <c r="J658" s="339"/>
      <c r="K658" s="339"/>
      <c r="L658" s="339" t="s">
        <v>409</v>
      </c>
      <c r="M658" s="339" t="s">
        <v>409</v>
      </c>
      <c r="N658" s="338" t="s">
        <v>417</v>
      </c>
      <c r="O658" s="338" t="s">
        <v>409</v>
      </c>
      <c r="P658" s="338" t="s">
        <v>408</v>
      </c>
    </row>
    <row r="659" spans="2:16" x14ac:dyDescent="0.25">
      <c r="B659" s="336" t="s">
        <v>416</v>
      </c>
      <c r="C659" s="337">
        <v>41277</v>
      </c>
      <c r="D659" s="338" t="s">
        <v>7595</v>
      </c>
      <c r="E659" s="338" t="s">
        <v>4603</v>
      </c>
      <c r="F659" s="338"/>
      <c r="G659" s="338">
        <v>130</v>
      </c>
      <c r="H659" s="338" t="s">
        <v>425</v>
      </c>
      <c r="I659" s="338" t="s">
        <v>411</v>
      </c>
      <c r="J659" s="339"/>
      <c r="K659" s="339"/>
      <c r="L659" s="339" t="s">
        <v>409</v>
      </c>
      <c r="M659" s="339" t="s">
        <v>409</v>
      </c>
      <c r="N659" s="338" t="s">
        <v>417</v>
      </c>
      <c r="O659" s="338" t="s">
        <v>409</v>
      </c>
      <c r="P659" s="338" t="s">
        <v>417</v>
      </c>
    </row>
    <row r="660" spans="2:16" x14ac:dyDescent="0.25">
      <c r="B660" s="336" t="s">
        <v>416</v>
      </c>
      <c r="C660" s="337">
        <v>41277</v>
      </c>
      <c r="D660" s="338" t="s">
        <v>6451</v>
      </c>
      <c r="E660" s="338" t="s">
        <v>4930</v>
      </c>
      <c r="F660" s="338"/>
      <c r="G660" s="338" t="s">
        <v>413</v>
      </c>
      <c r="H660" s="338" t="s">
        <v>425</v>
      </c>
      <c r="I660" s="338" t="s">
        <v>411</v>
      </c>
      <c r="J660" s="339"/>
      <c r="K660" s="339"/>
      <c r="L660" s="339" t="s">
        <v>409</v>
      </c>
      <c r="M660" s="339" t="s">
        <v>409</v>
      </c>
      <c r="N660" s="338"/>
      <c r="O660" s="338" t="s">
        <v>409</v>
      </c>
      <c r="P660" s="338" t="s">
        <v>417</v>
      </c>
    </row>
    <row r="661" spans="2:16" x14ac:dyDescent="0.25">
      <c r="B661" s="336" t="s">
        <v>416</v>
      </c>
      <c r="C661" s="337">
        <v>41277</v>
      </c>
      <c r="D661" s="338" t="s">
        <v>7594</v>
      </c>
      <c r="E661" s="338" t="s">
        <v>1316</v>
      </c>
      <c r="F661" s="338"/>
      <c r="G661" s="338" t="s">
        <v>413</v>
      </c>
      <c r="H661" s="338" t="s">
        <v>412</v>
      </c>
      <c r="I661" s="338" t="s">
        <v>411</v>
      </c>
      <c r="J661" s="339"/>
      <c r="K661" s="339"/>
      <c r="L661" s="339" t="s">
        <v>409</v>
      </c>
      <c r="M661" s="339" t="s">
        <v>409</v>
      </c>
      <c r="N661" s="338" t="s">
        <v>417</v>
      </c>
      <c r="O661" s="338" t="s">
        <v>409</v>
      </c>
      <c r="P661" s="338" t="s">
        <v>417</v>
      </c>
    </row>
    <row r="662" spans="2:16" x14ac:dyDescent="0.25">
      <c r="B662" s="336" t="s">
        <v>416</v>
      </c>
      <c r="C662" s="337">
        <v>41277</v>
      </c>
      <c r="D662" s="338" t="s">
        <v>7593</v>
      </c>
      <c r="E662" s="338" t="s">
        <v>1529</v>
      </c>
      <c r="F662" s="338" t="s">
        <v>7588</v>
      </c>
      <c r="G662" s="338" t="s">
        <v>413</v>
      </c>
      <c r="H662" s="338" t="s">
        <v>425</v>
      </c>
      <c r="I662" s="338" t="s">
        <v>411</v>
      </c>
      <c r="J662" s="339"/>
      <c r="K662" s="339"/>
      <c r="L662" s="339"/>
      <c r="M662" s="339"/>
      <c r="N662" s="338"/>
      <c r="O662" s="338" t="s">
        <v>482</v>
      </c>
      <c r="P662" s="338" t="s">
        <v>410</v>
      </c>
    </row>
    <row r="663" spans="2:16" x14ac:dyDescent="0.25">
      <c r="B663" s="336" t="s">
        <v>416</v>
      </c>
      <c r="C663" s="337">
        <v>41277</v>
      </c>
      <c r="D663" s="338" t="s">
        <v>7592</v>
      </c>
      <c r="E663" s="338" t="s">
        <v>7591</v>
      </c>
      <c r="F663" s="338"/>
      <c r="G663" s="338" t="s">
        <v>413</v>
      </c>
      <c r="H663" s="338" t="s">
        <v>336</v>
      </c>
      <c r="I663" s="338" t="s">
        <v>1243</v>
      </c>
      <c r="J663" s="339"/>
      <c r="K663" s="339"/>
      <c r="L663" s="339" t="s">
        <v>409</v>
      </c>
      <c r="M663" s="339" t="s">
        <v>409</v>
      </c>
      <c r="N663" s="338" t="s">
        <v>410</v>
      </c>
      <c r="O663" s="338" t="s">
        <v>409</v>
      </c>
      <c r="P663" s="338" t="s">
        <v>417</v>
      </c>
    </row>
    <row r="664" spans="2:16" x14ac:dyDescent="0.25">
      <c r="B664" s="336" t="s">
        <v>416</v>
      </c>
      <c r="C664" s="337">
        <v>41277</v>
      </c>
      <c r="D664" s="338" t="s">
        <v>7590</v>
      </c>
      <c r="E664" s="338" t="s">
        <v>6054</v>
      </c>
      <c r="F664" s="338"/>
      <c r="G664" s="338" t="s">
        <v>413</v>
      </c>
      <c r="H664" s="338" t="s">
        <v>412</v>
      </c>
      <c r="I664" s="338" t="s">
        <v>411</v>
      </c>
      <c r="J664" s="339"/>
      <c r="K664" s="339"/>
      <c r="L664" s="339" t="s">
        <v>409</v>
      </c>
      <c r="M664" s="339" t="s">
        <v>409</v>
      </c>
      <c r="N664" s="338" t="s">
        <v>417</v>
      </c>
      <c r="O664" s="338" t="s">
        <v>409</v>
      </c>
      <c r="P664" s="338" t="s">
        <v>417</v>
      </c>
    </row>
    <row r="665" spans="2:16" x14ac:dyDescent="0.25">
      <c r="B665" s="336" t="s">
        <v>416</v>
      </c>
      <c r="C665" s="337">
        <v>41277</v>
      </c>
      <c r="D665" s="338" t="s">
        <v>4135</v>
      </c>
      <c r="E665" s="338" t="s">
        <v>7589</v>
      </c>
      <c r="F665" s="338" t="s">
        <v>4134</v>
      </c>
      <c r="G665" s="338">
        <v>47.4</v>
      </c>
      <c r="H665" s="338" t="s">
        <v>425</v>
      </c>
      <c r="I665" s="338" t="s">
        <v>411</v>
      </c>
      <c r="J665" s="339"/>
      <c r="K665" s="339"/>
      <c r="L665" s="339"/>
      <c r="M665" s="339"/>
      <c r="N665" s="338" t="s">
        <v>417</v>
      </c>
      <c r="O665" s="338" t="s">
        <v>443</v>
      </c>
      <c r="P665" s="338" t="s">
        <v>487</v>
      </c>
    </row>
    <row r="666" spans="2:16" x14ac:dyDescent="0.25">
      <c r="B666" s="336" t="s">
        <v>416</v>
      </c>
      <c r="C666" s="337">
        <v>41277</v>
      </c>
      <c r="D666" s="338" t="s">
        <v>6451</v>
      </c>
      <c r="E666" s="338" t="s">
        <v>1529</v>
      </c>
      <c r="F666" s="338" t="s">
        <v>7588</v>
      </c>
      <c r="G666" s="338" t="s">
        <v>413</v>
      </c>
      <c r="H666" s="338" t="s">
        <v>425</v>
      </c>
      <c r="I666" s="338" t="s">
        <v>411</v>
      </c>
      <c r="J666" s="339"/>
      <c r="K666" s="339"/>
      <c r="L666" s="339"/>
      <c r="M666" s="339"/>
      <c r="N666" s="338"/>
      <c r="O666" s="338" t="s">
        <v>482</v>
      </c>
      <c r="P666" s="338" t="s">
        <v>410</v>
      </c>
    </row>
    <row r="667" spans="2:16" x14ac:dyDescent="0.25">
      <c r="B667" s="336" t="s">
        <v>416</v>
      </c>
      <c r="C667" s="337">
        <v>41276</v>
      </c>
      <c r="D667" s="338" t="s">
        <v>7587</v>
      </c>
      <c r="E667" s="338" t="s">
        <v>7586</v>
      </c>
      <c r="F667" s="338" t="s">
        <v>7585</v>
      </c>
      <c r="G667" s="338" t="s">
        <v>413</v>
      </c>
      <c r="H667" s="338" t="s">
        <v>412</v>
      </c>
      <c r="I667" s="338" t="s">
        <v>411</v>
      </c>
      <c r="J667" s="339"/>
      <c r="K667" s="339"/>
      <c r="L667" s="339"/>
      <c r="M667" s="339"/>
      <c r="N667" s="338" t="s">
        <v>482</v>
      </c>
      <c r="O667" s="338" t="s">
        <v>482</v>
      </c>
      <c r="P667" s="338" t="s">
        <v>410</v>
      </c>
    </row>
    <row r="668" spans="2:16" x14ac:dyDescent="0.25">
      <c r="B668" s="336" t="s">
        <v>416</v>
      </c>
      <c r="C668" s="337">
        <v>41276</v>
      </c>
      <c r="D668" s="338" t="s">
        <v>7584</v>
      </c>
      <c r="E668" s="338" t="s">
        <v>463</v>
      </c>
      <c r="F668" s="338"/>
      <c r="G668" s="338" t="s">
        <v>413</v>
      </c>
      <c r="H668" s="338" t="s">
        <v>425</v>
      </c>
      <c r="I668" s="338" t="s">
        <v>411</v>
      </c>
      <c r="J668" s="339"/>
      <c r="K668" s="339"/>
      <c r="L668" s="339" t="s">
        <v>409</v>
      </c>
      <c r="M668" s="339" t="s">
        <v>409</v>
      </c>
      <c r="N668" s="338"/>
      <c r="O668" s="338" t="s">
        <v>409</v>
      </c>
      <c r="P668" s="338" t="s">
        <v>417</v>
      </c>
    </row>
    <row r="669" spans="2:16" x14ac:dyDescent="0.25">
      <c r="B669" s="336" t="s">
        <v>416</v>
      </c>
      <c r="C669" s="337">
        <v>41276</v>
      </c>
      <c r="D669" s="338" t="s">
        <v>7583</v>
      </c>
      <c r="E669" s="338" t="s">
        <v>1591</v>
      </c>
      <c r="F669" s="338" t="s">
        <v>7582</v>
      </c>
      <c r="G669" s="338" t="s">
        <v>413</v>
      </c>
      <c r="H669" s="338" t="s">
        <v>412</v>
      </c>
      <c r="I669" s="338" t="s">
        <v>411</v>
      </c>
      <c r="J669" s="339"/>
      <c r="K669" s="339"/>
      <c r="L669" s="339"/>
      <c r="M669" s="339"/>
      <c r="N669" s="338" t="s">
        <v>417</v>
      </c>
      <c r="O669" s="338" t="s">
        <v>443</v>
      </c>
      <c r="P669" s="338" t="s">
        <v>443</v>
      </c>
    </row>
    <row r="670" spans="2:16" x14ac:dyDescent="0.25">
      <c r="B670" s="336" t="s">
        <v>416</v>
      </c>
      <c r="C670" s="337">
        <v>41276</v>
      </c>
      <c r="D670" s="338" t="s">
        <v>7581</v>
      </c>
      <c r="E670" s="338" t="s">
        <v>7580</v>
      </c>
      <c r="F670" s="338" t="s">
        <v>7161</v>
      </c>
      <c r="G670" s="338" t="s">
        <v>413</v>
      </c>
      <c r="H670" s="338" t="s">
        <v>425</v>
      </c>
      <c r="I670" s="338" t="s">
        <v>411</v>
      </c>
      <c r="J670" s="339"/>
      <c r="K670" s="339"/>
      <c r="L670" s="339"/>
      <c r="M670" s="339"/>
      <c r="N670" s="338" t="s">
        <v>417</v>
      </c>
      <c r="O670" s="338" t="s">
        <v>443</v>
      </c>
      <c r="P670" s="338" t="s">
        <v>443</v>
      </c>
    </row>
    <row r="671" spans="2:16" x14ac:dyDescent="0.25">
      <c r="B671" s="336" t="s">
        <v>416</v>
      </c>
      <c r="C671" s="337">
        <v>41276</v>
      </c>
      <c r="D671" s="338" t="s">
        <v>7579</v>
      </c>
      <c r="E671" s="338" t="s">
        <v>7578</v>
      </c>
      <c r="F671" s="338"/>
      <c r="G671" s="338" t="s">
        <v>413</v>
      </c>
      <c r="H671" s="338" t="s">
        <v>425</v>
      </c>
      <c r="I671" s="338" t="s">
        <v>411</v>
      </c>
      <c r="J671" s="339"/>
      <c r="K671" s="339"/>
      <c r="L671" s="339" t="s">
        <v>409</v>
      </c>
      <c r="M671" s="339" t="s">
        <v>409</v>
      </c>
      <c r="N671" s="338"/>
      <c r="O671" s="338" t="s">
        <v>409</v>
      </c>
      <c r="P671" s="338" t="s">
        <v>417</v>
      </c>
    </row>
    <row r="672" spans="2:16" x14ac:dyDescent="0.25">
      <c r="B672" s="336" t="s">
        <v>416</v>
      </c>
      <c r="C672" s="337">
        <v>41276</v>
      </c>
      <c r="D672" s="338" t="s">
        <v>956</v>
      </c>
      <c r="E672" s="338" t="s">
        <v>477</v>
      </c>
      <c r="F672" s="338" t="s">
        <v>7577</v>
      </c>
      <c r="G672" s="338">
        <v>107</v>
      </c>
      <c r="H672" s="338" t="s">
        <v>425</v>
      </c>
      <c r="I672" s="338" t="s">
        <v>411</v>
      </c>
      <c r="J672" s="339"/>
      <c r="K672" s="339"/>
      <c r="L672" s="339"/>
      <c r="M672" s="339"/>
      <c r="N672" s="338"/>
      <c r="O672" s="338" t="s">
        <v>487</v>
      </c>
      <c r="P672" s="338" t="s">
        <v>417</v>
      </c>
    </row>
    <row r="673" spans="2:16" x14ac:dyDescent="0.25">
      <c r="B673" s="336" t="s">
        <v>416</v>
      </c>
      <c r="C673" s="337">
        <v>41275</v>
      </c>
      <c r="D673" s="338" t="s">
        <v>7576</v>
      </c>
      <c r="E673" s="338" t="s">
        <v>7575</v>
      </c>
      <c r="F673" s="338" t="s">
        <v>1373</v>
      </c>
      <c r="G673" s="338" t="s">
        <v>413</v>
      </c>
      <c r="H673" s="338" t="s">
        <v>425</v>
      </c>
      <c r="I673" s="338" t="s">
        <v>1243</v>
      </c>
      <c r="J673" s="339"/>
      <c r="K673" s="339"/>
      <c r="L673" s="339">
        <v>3.72275</v>
      </c>
      <c r="M673" s="339">
        <v>16.232900000000001</v>
      </c>
      <c r="N673" s="338"/>
      <c r="O673" s="338" t="s">
        <v>410</v>
      </c>
      <c r="P673" s="338" t="s">
        <v>410</v>
      </c>
    </row>
    <row r="674" spans="2:16" x14ac:dyDescent="0.25">
      <c r="B674" s="336" t="s">
        <v>416</v>
      </c>
      <c r="C674" s="337">
        <v>41271</v>
      </c>
      <c r="D674" s="338" t="s">
        <v>7574</v>
      </c>
      <c r="E674" s="338" t="s">
        <v>3345</v>
      </c>
      <c r="F674" s="338" t="s">
        <v>7573</v>
      </c>
      <c r="G674" s="338" t="s">
        <v>413</v>
      </c>
      <c r="H674" s="338" t="s">
        <v>412</v>
      </c>
      <c r="I674" s="338" t="s">
        <v>411</v>
      </c>
      <c r="J674" s="339"/>
      <c r="K674" s="339"/>
      <c r="L674" s="339"/>
      <c r="M674" s="339"/>
      <c r="N674" s="338" t="s">
        <v>417</v>
      </c>
      <c r="O674" s="338" t="s">
        <v>482</v>
      </c>
      <c r="P674" s="338" t="s">
        <v>443</v>
      </c>
    </row>
    <row r="675" spans="2:16" x14ac:dyDescent="0.25">
      <c r="B675" s="336" t="s">
        <v>416</v>
      </c>
      <c r="C675" s="337">
        <v>41270</v>
      </c>
      <c r="D675" s="338" t="s">
        <v>7572</v>
      </c>
      <c r="E675" s="338" t="s">
        <v>3837</v>
      </c>
      <c r="F675" s="338"/>
      <c r="G675" s="338">
        <v>23</v>
      </c>
      <c r="H675" s="338" t="s">
        <v>425</v>
      </c>
      <c r="I675" s="338" t="s">
        <v>411</v>
      </c>
      <c r="J675" s="339"/>
      <c r="K675" s="339"/>
      <c r="L675" s="339" t="s">
        <v>409</v>
      </c>
      <c r="M675" s="339" t="s">
        <v>409</v>
      </c>
      <c r="N675" s="338"/>
      <c r="O675" s="338" t="s">
        <v>409</v>
      </c>
      <c r="P675" s="338" t="s">
        <v>432</v>
      </c>
    </row>
    <row r="676" spans="2:16" x14ac:dyDescent="0.25">
      <c r="B676" s="336" t="s">
        <v>416</v>
      </c>
      <c r="C676" s="337">
        <v>41269</v>
      </c>
      <c r="D676" s="338" t="s">
        <v>7571</v>
      </c>
      <c r="E676" s="338" t="s">
        <v>7570</v>
      </c>
      <c r="F676" s="338"/>
      <c r="G676" s="338" t="s">
        <v>413</v>
      </c>
      <c r="H676" s="338" t="s">
        <v>412</v>
      </c>
      <c r="I676" s="338" t="s">
        <v>411</v>
      </c>
      <c r="J676" s="339"/>
      <c r="K676" s="339"/>
      <c r="L676" s="339" t="s">
        <v>409</v>
      </c>
      <c r="M676" s="339" t="s">
        <v>409</v>
      </c>
      <c r="N676" s="338" t="s">
        <v>417</v>
      </c>
      <c r="O676" s="338" t="s">
        <v>409</v>
      </c>
      <c r="P676" s="338" t="s">
        <v>417</v>
      </c>
    </row>
    <row r="677" spans="2:16" x14ac:dyDescent="0.25">
      <c r="B677" s="336" t="s">
        <v>416</v>
      </c>
      <c r="C677" s="337">
        <v>41264</v>
      </c>
      <c r="D677" s="338" t="s">
        <v>7569</v>
      </c>
      <c r="E677" s="338" t="s">
        <v>4521</v>
      </c>
      <c r="F677" s="338"/>
      <c r="G677" s="338">
        <v>200</v>
      </c>
      <c r="H677" s="338" t="s">
        <v>425</v>
      </c>
      <c r="I677" s="338" t="s">
        <v>411</v>
      </c>
      <c r="J677" s="339"/>
      <c r="K677" s="339"/>
      <c r="L677" s="339" t="s">
        <v>409</v>
      </c>
      <c r="M677" s="339" t="s">
        <v>409</v>
      </c>
      <c r="N677" s="338" t="s">
        <v>417</v>
      </c>
      <c r="O677" s="338" t="s">
        <v>409</v>
      </c>
      <c r="P677" s="338" t="s">
        <v>417</v>
      </c>
    </row>
    <row r="678" spans="2:16" x14ac:dyDescent="0.25">
      <c r="B678" s="336" t="s">
        <v>416</v>
      </c>
      <c r="C678" s="337">
        <v>41264</v>
      </c>
      <c r="D678" s="338" t="s">
        <v>7568</v>
      </c>
      <c r="E678" s="338" t="s">
        <v>5655</v>
      </c>
      <c r="F678" s="338" t="s">
        <v>1956</v>
      </c>
      <c r="G678" s="338" t="s">
        <v>413</v>
      </c>
      <c r="H678" s="338" t="s">
        <v>425</v>
      </c>
      <c r="I678" s="338" t="s">
        <v>411</v>
      </c>
      <c r="J678" s="339"/>
      <c r="K678" s="339"/>
      <c r="L678" s="339">
        <v>1.6178600000000001</v>
      </c>
      <c r="M678" s="339">
        <v>11.124700000000001</v>
      </c>
      <c r="N678" s="338"/>
      <c r="O678" s="338" t="s">
        <v>432</v>
      </c>
      <c r="P678" s="338" t="s">
        <v>417</v>
      </c>
    </row>
    <row r="679" spans="2:16" x14ac:dyDescent="0.25">
      <c r="B679" s="336" t="s">
        <v>416</v>
      </c>
      <c r="C679" s="337">
        <v>41264</v>
      </c>
      <c r="D679" s="338" t="s">
        <v>7567</v>
      </c>
      <c r="E679" s="338" t="s">
        <v>742</v>
      </c>
      <c r="F679" s="338"/>
      <c r="G679" s="338">
        <v>2689.58</v>
      </c>
      <c r="H679" s="338" t="s">
        <v>425</v>
      </c>
      <c r="I679" s="338" t="s">
        <v>411</v>
      </c>
      <c r="J679" s="339">
        <v>2.2964000000000002</v>
      </c>
      <c r="K679" s="339">
        <v>8.3667899999999999</v>
      </c>
      <c r="L679" s="339" t="s">
        <v>409</v>
      </c>
      <c r="M679" s="339" t="s">
        <v>409</v>
      </c>
      <c r="N679" s="338" t="s">
        <v>417</v>
      </c>
      <c r="O679" s="338" t="s">
        <v>409</v>
      </c>
      <c r="P679" s="338" t="s">
        <v>417</v>
      </c>
    </row>
    <row r="680" spans="2:16" x14ac:dyDescent="0.25">
      <c r="B680" s="336" t="s">
        <v>416</v>
      </c>
      <c r="C680" s="337">
        <v>41264</v>
      </c>
      <c r="D680" s="338" t="s">
        <v>7566</v>
      </c>
      <c r="E680" s="338" t="s">
        <v>4024</v>
      </c>
      <c r="F680" s="338"/>
      <c r="G680" s="338" t="s">
        <v>413</v>
      </c>
      <c r="H680" s="338" t="s">
        <v>425</v>
      </c>
      <c r="I680" s="338" t="s">
        <v>411</v>
      </c>
      <c r="J680" s="339"/>
      <c r="K680" s="339"/>
      <c r="L680" s="339" t="s">
        <v>409</v>
      </c>
      <c r="M680" s="339" t="s">
        <v>409</v>
      </c>
      <c r="N680" s="338" t="s">
        <v>417</v>
      </c>
      <c r="O680" s="338" t="s">
        <v>409</v>
      </c>
      <c r="P680" s="338" t="s">
        <v>443</v>
      </c>
    </row>
    <row r="681" spans="2:16" x14ac:dyDescent="0.25">
      <c r="B681" s="336" t="s">
        <v>416</v>
      </c>
      <c r="C681" s="337">
        <v>41263</v>
      </c>
      <c r="D681" s="338" t="s">
        <v>7565</v>
      </c>
      <c r="E681" s="338" t="s">
        <v>7564</v>
      </c>
      <c r="F681" s="338"/>
      <c r="G681" s="338">
        <v>9.3000000000000007</v>
      </c>
      <c r="H681" s="338" t="s">
        <v>425</v>
      </c>
      <c r="I681" s="338" t="s">
        <v>411</v>
      </c>
      <c r="J681" s="339"/>
      <c r="K681" s="339"/>
      <c r="L681" s="339" t="s">
        <v>409</v>
      </c>
      <c r="M681" s="339" t="s">
        <v>409</v>
      </c>
      <c r="N681" s="338" t="s">
        <v>417</v>
      </c>
      <c r="O681" s="338" t="s">
        <v>409</v>
      </c>
      <c r="P681" s="338" t="s">
        <v>417</v>
      </c>
    </row>
    <row r="682" spans="2:16" x14ac:dyDescent="0.25">
      <c r="B682" s="336" t="s">
        <v>459</v>
      </c>
      <c r="C682" s="337">
        <v>41262</v>
      </c>
      <c r="D682" s="338" t="s">
        <v>7563</v>
      </c>
      <c r="E682" s="338" t="s">
        <v>7328</v>
      </c>
      <c r="F682" s="338"/>
      <c r="G682" s="338" t="s">
        <v>413</v>
      </c>
      <c r="H682" s="338" t="s">
        <v>425</v>
      </c>
      <c r="I682" s="338" t="s">
        <v>411</v>
      </c>
      <c r="J682" s="339"/>
      <c r="K682" s="339"/>
      <c r="L682" s="339" t="s">
        <v>409</v>
      </c>
      <c r="M682" s="339" t="s">
        <v>409</v>
      </c>
      <c r="N682" s="338" t="s">
        <v>417</v>
      </c>
      <c r="O682" s="338" t="s">
        <v>409</v>
      </c>
      <c r="P682" s="338" t="s">
        <v>443</v>
      </c>
    </row>
    <row r="683" spans="2:16" x14ac:dyDescent="0.25">
      <c r="B683" s="336" t="s">
        <v>459</v>
      </c>
      <c r="C683" s="337">
        <v>41262</v>
      </c>
      <c r="D683" s="338" t="s">
        <v>7562</v>
      </c>
      <c r="E683" s="338" t="s">
        <v>7561</v>
      </c>
      <c r="F683" s="338"/>
      <c r="G683" s="338">
        <v>2.5</v>
      </c>
      <c r="H683" s="338" t="s">
        <v>425</v>
      </c>
      <c r="I683" s="338" t="s">
        <v>411</v>
      </c>
      <c r="J683" s="339"/>
      <c r="K683" s="339"/>
      <c r="L683" s="339" t="s">
        <v>409</v>
      </c>
      <c r="M683" s="339" t="s">
        <v>409</v>
      </c>
      <c r="N683" s="338" t="s">
        <v>432</v>
      </c>
      <c r="O683" s="338" t="s">
        <v>409</v>
      </c>
      <c r="P683" s="338"/>
    </row>
    <row r="684" spans="2:16" x14ac:dyDescent="0.25">
      <c r="B684" s="336" t="s">
        <v>416</v>
      </c>
      <c r="C684" s="337">
        <v>41262</v>
      </c>
      <c r="D684" s="338" t="s">
        <v>7560</v>
      </c>
      <c r="E684" s="338" t="s">
        <v>1422</v>
      </c>
      <c r="F684" s="338"/>
      <c r="G684" s="338" t="s">
        <v>413</v>
      </c>
      <c r="H684" s="338" t="s">
        <v>425</v>
      </c>
      <c r="I684" s="338" t="s">
        <v>411</v>
      </c>
      <c r="J684" s="339"/>
      <c r="K684" s="339"/>
      <c r="L684" s="339" t="s">
        <v>409</v>
      </c>
      <c r="M684" s="339" t="s">
        <v>409</v>
      </c>
      <c r="N684" s="338" t="s">
        <v>417</v>
      </c>
      <c r="O684" s="338" t="s">
        <v>409</v>
      </c>
      <c r="P684" s="338" t="s">
        <v>417</v>
      </c>
    </row>
    <row r="685" spans="2:16" x14ac:dyDescent="0.25">
      <c r="B685" s="336" t="s">
        <v>459</v>
      </c>
      <c r="C685" s="337">
        <v>41262</v>
      </c>
      <c r="D685" s="338" t="s">
        <v>7559</v>
      </c>
      <c r="E685" s="338" t="s">
        <v>7558</v>
      </c>
      <c r="F685" s="338"/>
      <c r="G685" s="338">
        <v>5</v>
      </c>
      <c r="H685" s="338" t="s">
        <v>425</v>
      </c>
      <c r="I685" s="338" t="s">
        <v>411</v>
      </c>
      <c r="J685" s="339"/>
      <c r="K685" s="339"/>
      <c r="L685" s="339" t="s">
        <v>409</v>
      </c>
      <c r="M685" s="339" t="s">
        <v>409</v>
      </c>
      <c r="N685" s="338" t="s">
        <v>417</v>
      </c>
      <c r="O685" s="338" t="s">
        <v>409</v>
      </c>
      <c r="P685" s="338" t="s">
        <v>443</v>
      </c>
    </row>
    <row r="686" spans="2:16" x14ac:dyDescent="0.25">
      <c r="B686" s="336" t="s">
        <v>416</v>
      </c>
      <c r="C686" s="337">
        <v>41262</v>
      </c>
      <c r="D686" s="338" t="s">
        <v>956</v>
      </c>
      <c r="E686" s="338" t="s">
        <v>7557</v>
      </c>
      <c r="F686" s="338" t="s">
        <v>7556</v>
      </c>
      <c r="G686" s="338" t="s">
        <v>413</v>
      </c>
      <c r="H686" s="338" t="s">
        <v>425</v>
      </c>
      <c r="I686" s="338" t="s">
        <v>411</v>
      </c>
      <c r="J686" s="339"/>
      <c r="K686" s="339"/>
      <c r="L686" s="339"/>
      <c r="M686" s="339"/>
      <c r="N686" s="338"/>
      <c r="O686" s="338" t="s">
        <v>417</v>
      </c>
      <c r="P686" s="338" t="s">
        <v>605</v>
      </c>
    </row>
    <row r="687" spans="2:16" x14ac:dyDescent="0.25">
      <c r="B687" s="336" t="s">
        <v>416</v>
      </c>
      <c r="C687" s="337">
        <v>41261</v>
      </c>
      <c r="D687" s="338" t="s">
        <v>7555</v>
      </c>
      <c r="E687" s="338" t="s">
        <v>4642</v>
      </c>
      <c r="F687" s="338" t="s">
        <v>1657</v>
      </c>
      <c r="G687" s="338" t="s">
        <v>413</v>
      </c>
      <c r="H687" s="338" t="s">
        <v>425</v>
      </c>
      <c r="I687" s="338" t="s">
        <v>411</v>
      </c>
      <c r="J687" s="339"/>
      <c r="K687" s="339"/>
      <c r="L687" s="339">
        <v>3.4981300000000002</v>
      </c>
      <c r="M687" s="339">
        <v>10.817399999999999</v>
      </c>
      <c r="N687" s="338"/>
      <c r="O687" s="338" t="s">
        <v>410</v>
      </c>
      <c r="P687" s="338" t="s">
        <v>410</v>
      </c>
    </row>
    <row r="688" spans="2:16" x14ac:dyDescent="0.25">
      <c r="B688" s="336" t="s">
        <v>416</v>
      </c>
      <c r="C688" s="337">
        <v>41261</v>
      </c>
      <c r="D688" s="338" t="s">
        <v>7554</v>
      </c>
      <c r="E688" s="338" t="s">
        <v>1322</v>
      </c>
      <c r="F688" s="338" t="s">
        <v>7553</v>
      </c>
      <c r="G688" s="338" t="s">
        <v>413</v>
      </c>
      <c r="H688" s="338" t="s">
        <v>412</v>
      </c>
      <c r="I688" s="338" t="s">
        <v>411</v>
      </c>
      <c r="J688" s="339"/>
      <c r="K688" s="339"/>
      <c r="L688" s="339"/>
      <c r="M688" s="339"/>
      <c r="N688" s="338" t="s">
        <v>482</v>
      </c>
      <c r="O688" s="338" t="s">
        <v>482</v>
      </c>
      <c r="P688" s="338" t="s">
        <v>417</v>
      </c>
    </row>
    <row r="689" spans="2:16" x14ac:dyDescent="0.25">
      <c r="B689" s="336" t="s">
        <v>416</v>
      </c>
      <c r="C689" s="337">
        <v>41260</v>
      </c>
      <c r="D689" s="338" t="s">
        <v>7552</v>
      </c>
      <c r="E689" s="338" t="s">
        <v>7043</v>
      </c>
      <c r="F689" s="338"/>
      <c r="G689" s="338" t="s">
        <v>413</v>
      </c>
      <c r="H689" s="338" t="s">
        <v>412</v>
      </c>
      <c r="I689" s="338" t="s">
        <v>411</v>
      </c>
      <c r="J689" s="339"/>
      <c r="K689" s="339"/>
      <c r="L689" s="339" t="s">
        <v>409</v>
      </c>
      <c r="M689" s="339" t="s">
        <v>409</v>
      </c>
      <c r="N689" s="338" t="s">
        <v>417</v>
      </c>
      <c r="O689" s="338" t="s">
        <v>409</v>
      </c>
      <c r="P689" s="338" t="s">
        <v>417</v>
      </c>
    </row>
    <row r="690" spans="2:16" x14ac:dyDescent="0.25">
      <c r="B690" s="336" t="s">
        <v>416</v>
      </c>
      <c r="C690" s="337">
        <v>41260</v>
      </c>
      <c r="D690" s="338" t="s">
        <v>956</v>
      </c>
      <c r="E690" s="338" t="s">
        <v>3857</v>
      </c>
      <c r="F690" s="338" t="s">
        <v>7551</v>
      </c>
      <c r="G690" s="338">
        <v>137</v>
      </c>
      <c r="H690" s="338" t="s">
        <v>425</v>
      </c>
      <c r="I690" s="338" t="s">
        <v>411</v>
      </c>
      <c r="J690" s="339"/>
      <c r="K690" s="339"/>
      <c r="L690" s="339"/>
      <c r="M690" s="339"/>
      <c r="N690" s="338"/>
      <c r="O690" s="338" t="s">
        <v>410</v>
      </c>
      <c r="P690" s="338" t="s">
        <v>417</v>
      </c>
    </row>
    <row r="691" spans="2:16" x14ac:dyDescent="0.25">
      <c r="B691" s="336" t="s">
        <v>416</v>
      </c>
      <c r="C691" s="337">
        <v>41260</v>
      </c>
      <c r="D691" s="338" t="s">
        <v>7550</v>
      </c>
      <c r="E691" s="338" t="s">
        <v>1172</v>
      </c>
      <c r="F691" s="338" t="s">
        <v>7549</v>
      </c>
      <c r="G691" s="338" t="s">
        <v>413</v>
      </c>
      <c r="H691" s="338" t="s">
        <v>425</v>
      </c>
      <c r="I691" s="338" t="s">
        <v>411</v>
      </c>
      <c r="J691" s="339"/>
      <c r="K691" s="339"/>
      <c r="L691" s="339"/>
      <c r="M691" s="339"/>
      <c r="N691" s="338"/>
      <c r="O691" s="338" t="s">
        <v>417</v>
      </c>
      <c r="P691" s="338" t="s">
        <v>417</v>
      </c>
    </row>
    <row r="692" spans="2:16" x14ac:dyDescent="0.25">
      <c r="B692" s="336" t="s">
        <v>416</v>
      </c>
      <c r="C692" s="337">
        <v>41260</v>
      </c>
      <c r="D692" s="338" t="s">
        <v>7548</v>
      </c>
      <c r="E692" s="338" t="s">
        <v>7547</v>
      </c>
      <c r="F692" s="338"/>
      <c r="G692" s="338">
        <v>50</v>
      </c>
      <c r="H692" s="338" t="s">
        <v>425</v>
      </c>
      <c r="I692" s="338" t="s">
        <v>411</v>
      </c>
      <c r="J692" s="339"/>
      <c r="K692" s="339"/>
      <c r="L692" s="339" t="s">
        <v>409</v>
      </c>
      <c r="M692" s="339" t="s">
        <v>409</v>
      </c>
      <c r="N692" s="338" t="s">
        <v>410</v>
      </c>
      <c r="O692" s="338" t="s">
        <v>409</v>
      </c>
      <c r="P692" s="338" t="s">
        <v>417</v>
      </c>
    </row>
    <row r="693" spans="2:16" x14ac:dyDescent="0.25">
      <c r="B693" s="336" t="s">
        <v>416</v>
      </c>
      <c r="C693" s="337">
        <v>41260</v>
      </c>
      <c r="D693" s="338" t="s">
        <v>7546</v>
      </c>
      <c r="E693" s="338" t="s">
        <v>7545</v>
      </c>
      <c r="F693" s="338"/>
      <c r="G693" s="338">
        <v>306.10000000000002</v>
      </c>
      <c r="H693" s="338" t="s">
        <v>425</v>
      </c>
      <c r="I693" s="338" t="s">
        <v>411</v>
      </c>
      <c r="J693" s="339">
        <v>0.75601799999999997</v>
      </c>
      <c r="K693" s="339">
        <v>9.17117</v>
      </c>
      <c r="L693" s="339" t="s">
        <v>409</v>
      </c>
      <c r="M693" s="339" t="s">
        <v>409</v>
      </c>
      <c r="N693" s="338" t="s">
        <v>417</v>
      </c>
      <c r="O693" s="338" t="s">
        <v>409</v>
      </c>
      <c r="P693" s="338" t="s">
        <v>543</v>
      </c>
    </row>
    <row r="694" spans="2:16" x14ac:dyDescent="0.25">
      <c r="B694" s="336" t="s">
        <v>416</v>
      </c>
      <c r="C694" s="337">
        <v>41257</v>
      </c>
      <c r="D694" s="338" t="s">
        <v>956</v>
      </c>
      <c r="E694" s="338" t="s">
        <v>2418</v>
      </c>
      <c r="F694" s="338" t="s">
        <v>7544</v>
      </c>
      <c r="G694" s="338" t="s">
        <v>413</v>
      </c>
      <c r="H694" s="338" t="s">
        <v>425</v>
      </c>
      <c r="I694" s="338" t="s">
        <v>411</v>
      </c>
      <c r="J694" s="339"/>
      <c r="K694" s="339"/>
      <c r="L694" s="339"/>
      <c r="M694" s="339"/>
      <c r="N694" s="338"/>
      <c r="O694" s="338" t="s">
        <v>487</v>
      </c>
      <c r="P694" s="338" t="s">
        <v>417</v>
      </c>
    </row>
    <row r="695" spans="2:16" x14ac:dyDescent="0.25">
      <c r="B695" s="336" t="s">
        <v>416</v>
      </c>
      <c r="C695" s="337">
        <v>41257</v>
      </c>
      <c r="D695" s="338" t="s">
        <v>956</v>
      </c>
      <c r="E695" s="338" t="s">
        <v>1119</v>
      </c>
      <c r="F695" s="338" t="s">
        <v>7543</v>
      </c>
      <c r="G695" s="338" t="s">
        <v>413</v>
      </c>
      <c r="H695" s="338" t="s">
        <v>425</v>
      </c>
      <c r="I695" s="338" t="s">
        <v>411</v>
      </c>
      <c r="J695" s="339"/>
      <c r="K695" s="339"/>
      <c r="L695" s="339"/>
      <c r="M695" s="339"/>
      <c r="N695" s="338"/>
      <c r="O695" s="338" t="s">
        <v>417</v>
      </c>
      <c r="P695" s="338" t="s">
        <v>417</v>
      </c>
    </row>
    <row r="696" spans="2:16" x14ac:dyDescent="0.25">
      <c r="B696" s="336" t="s">
        <v>416</v>
      </c>
      <c r="C696" s="337">
        <v>41256</v>
      </c>
      <c r="D696" s="338" t="s">
        <v>7542</v>
      </c>
      <c r="E696" s="338" t="s">
        <v>7541</v>
      </c>
      <c r="F696" s="338" t="s">
        <v>7540</v>
      </c>
      <c r="G696" s="338">
        <v>710</v>
      </c>
      <c r="H696" s="338" t="s">
        <v>425</v>
      </c>
      <c r="I696" s="338" t="s">
        <v>411</v>
      </c>
      <c r="J696" s="339"/>
      <c r="K696" s="339"/>
      <c r="L696" s="339">
        <v>1.0117400000000001</v>
      </c>
      <c r="M696" s="339">
        <v>7.8772000000000002</v>
      </c>
      <c r="N696" s="338"/>
      <c r="O696" s="338" t="s">
        <v>482</v>
      </c>
      <c r="P696" s="338" t="s">
        <v>482</v>
      </c>
    </row>
    <row r="697" spans="2:16" x14ac:dyDescent="0.25">
      <c r="B697" s="336" t="s">
        <v>416</v>
      </c>
      <c r="C697" s="337">
        <v>41255</v>
      </c>
      <c r="D697" s="338" t="s">
        <v>7539</v>
      </c>
      <c r="E697" s="338" t="s">
        <v>7538</v>
      </c>
      <c r="F697" s="338" t="s">
        <v>7537</v>
      </c>
      <c r="G697" s="338">
        <v>0.2</v>
      </c>
      <c r="H697" s="338" t="s">
        <v>429</v>
      </c>
      <c r="I697" s="338" t="s">
        <v>411</v>
      </c>
      <c r="J697" s="339"/>
      <c r="K697" s="339"/>
      <c r="L697" s="339"/>
      <c r="M697" s="339"/>
      <c r="N697" s="338"/>
      <c r="O697" s="338"/>
      <c r="P697" s="338" t="s">
        <v>482</v>
      </c>
    </row>
    <row r="698" spans="2:16" x14ac:dyDescent="0.25">
      <c r="B698" s="336" t="s">
        <v>416</v>
      </c>
      <c r="C698" s="337">
        <v>41255</v>
      </c>
      <c r="D698" s="338" t="s">
        <v>7536</v>
      </c>
      <c r="E698" s="338" t="s">
        <v>7535</v>
      </c>
      <c r="F698" s="338" t="s">
        <v>7534</v>
      </c>
      <c r="G698" s="338">
        <v>8</v>
      </c>
      <c r="H698" s="338" t="s">
        <v>429</v>
      </c>
      <c r="I698" s="338" t="s">
        <v>411</v>
      </c>
      <c r="J698" s="339"/>
      <c r="K698" s="339"/>
      <c r="L698" s="339"/>
      <c r="M698" s="339"/>
      <c r="N698" s="338"/>
      <c r="O698" s="338" t="s">
        <v>417</v>
      </c>
      <c r="P698" s="338"/>
    </row>
    <row r="699" spans="2:16" x14ac:dyDescent="0.25">
      <c r="B699" s="336" t="s">
        <v>459</v>
      </c>
      <c r="C699" s="337">
        <v>41254</v>
      </c>
      <c r="D699" s="338" t="s">
        <v>7533</v>
      </c>
      <c r="E699" s="338" t="s">
        <v>7532</v>
      </c>
      <c r="F699" s="338"/>
      <c r="G699" s="338" t="s">
        <v>413</v>
      </c>
      <c r="H699" s="338" t="s">
        <v>425</v>
      </c>
      <c r="I699" s="338" t="s">
        <v>411</v>
      </c>
      <c r="J699" s="339"/>
      <c r="K699" s="339"/>
      <c r="L699" s="339" t="s">
        <v>409</v>
      </c>
      <c r="M699" s="339" t="s">
        <v>409</v>
      </c>
      <c r="N699" s="338" t="s">
        <v>432</v>
      </c>
      <c r="O699" s="338" t="s">
        <v>409</v>
      </c>
      <c r="P699" s="338"/>
    </row>
    <row r="700" spans="2:16" x14ac:dyDescent="0.25">
      <c r="B700" s="336" t="s">
        <v>416</v>
      </c>
      <c r="C700" s="337">
        <v>41254</v>
      </c>
      <c r="D700" s="338" t="s">
        <v>7531</v>
      </c>
      <c r="E700" s="338" t="s">
        <v>7530</v>
      </c>
      <c r="F700" s="338"/>
      <c r="G700" s="338" t="s">
        <v>413</v>
      </c>
      <c r="H700" s="338" t="s">
        <v>412</v>
      </c>
      <c r="I700" s="338" t="s">
        <v>411</v>
      </c>
      <c r="J700" s="339"/>
      <c r="K700" s="339"/>
      <c r="L700" s="339" t="s">
        <v>409</v>
      </c>
      <c r="M700" s="339" t="s">
        <v>409</v>
      </c>
      <c r="N700" s="338" t="s">
        <v>417</v>
      </c>
      <c r="O700" s="338" t="s">
        <v>409</v>
      </c>
      <c r="P700" s="338" t="s">
        <v>487</v>
      </c>
    </row>
    <row r="701" spans="2:16" x14ac:dyDescent="0.25">
      <c r="B701" s="336" t="s">
        <v>416</v>
      </c>
      <c r="C701" s="337">
        <v>41254</v>
      </c>
      <c r="D701" s="338" t="s">
        <v>4591</v>
      </c>
      <c r="E701" s="338" t="s">
        <v>5319</v>
      </c>
      <c r="F701" s="338"/>
      <c r="G701" s="338" t="s">
        <v>413</v>
      </c>
      <c r="H701" s="338" t="s">
        <v>412</v>
      </c>
      <c r="I701" s="338" t="s">
        <v>411</v>
      </c>
      <c r="J701" s="339"/>
      <c r="K701" s="339"/>
      <c r="L701" s="339" t="s">
        <v>409</v>
      </c>
      <c r="M701" s="339" t="s">
        <v>409</v>
      </c>
      <c r="N701" s="338" t="s">
        <v>417</v>
      </c>
      <c r="O701" s="338" t="s">
        <v>409</v>
      </c>
      <c r="P701" s="338" t="s">
        <v>417</v>
      </c>
    </row>
    <row r="702" spans="2:16" x14ac:dyDescent="0.25">
      <c r="B702" s="336" t="s">
        <v>459</v>
      </c>
      <c r="C702" s="337">
        <v>41254</v>
      </c>
      <c r="D702" s="338" t="s">
        <v>7529</v>
      </c>
      <c r="E702" s="338" t="s">
        <v>7528</v>
      </c>
      <c r="F702" s="338"/>
      <c r="G702" s="338">
        <v>0.67</v>
      </c>
      <c r="H702" s="338" t="s">
        <v>425</v>
      </c>
      <c r="I702" s="338" t="s">
        <v>411</v>
      </c>
      <c r="J702" s="339"/>
      <c r="K702" s="339"/>
      <c r="L702" s="339" t="s">
        <v>409</v>
      </c>
      <c r="M702" s="339" t="s">
        <v>409</v>
      </c>
      <c r="N702" s="338" t="s">
        <v>432</v>
      </c>
      <c r="O702" s="338" t="s">
        <v>409</v>
      </c>
      <c r="P702" s="338"/>
    </row>
    <row r="703" spans="2:16" x14ac:dyDescent="0.25">
      <c r="B703" s="336" t="s">
        <v>459</v>
      </c>
      <c r="C703" s="337">
        <v>41254</v>
      </c>
      <c r="D703" s="338" t="s">
        <v>7527</v>
      </c>
      <c r="E703" s="338" t="s">
        <v>7526</v>
      </c>
      <c r="F703" s="338"/>
      <c r="G703" s="338" t="s">
        <v>413</v>
      </c>
      <c r="H703" s="338" t="s">
        <v>425</v>
      </c>
      <c r="I703" s="338" t="s">
        <v>411</v>
      </c>
      <c r="J703" s="339"/>
      <c r="K703" s="339"/>
      <c r="L703" s="339" t="s">
        <v>409</v>
      </c>
      <c r="M703" s="339" t="s">
        <v>409</v>
      </c>
      <c r="N703" s="338" t="s">
        <v>417</v>
      </c>
      <c r="O703" s="338" t="s">
        <v>409</v>
      </c>
      <c r="P703" s="338" t="s">
        <v>443</v>
      </c>
    </row>
    <row r="704" spans="2:16" x14ac:dyDescent="0.25">
      <c r="B704" s="336" t="s">
        <v>459</v>
      </c>
      <c r="C704" s="337">
        <v>41253</v>
      </c>
      <c r="D704" s="338" t="s">
        <v>4512</v>
      </c>
      <c r="E704" s="338" t="s">
        <v>6390</v>
      </c>
      <c r="F704" s="338"/>
      <c r="G704" s="338" t="s">
        <v>413</v>
      </c>
      <c r="H704" s="338" t="s">
        <v>425</v>
      </c>
      <c r="I704" s="338" t="s">
        <v>411</v>
      </c>
      <c r="J704" s="339"/>
      <c r="K704" s="339"/>
      <c r="L704" s="339" t="s">
        <v>409</v>
      </c>
      <c r="M704" s="339" t="s">
        <v>409</v>
      </c>
      <c r="N704" s="338" t="s">
        <v>417</v>
      </c>
      <c r="O704" s="338" t="s">
        <v>409</v>
      </c>
      <c r="P704" s="338" t="s">
        <v>443</v>
      </c>
    </row>
    <row r="705" spans="2:16" x14ac:dyDescent="0.25">
      <c r="B705" s="336" t="s">
        <v>416</v>
      </c>
      <c r="C705" s="337">
        <v>41253</v>
      </c>
      <c r="D705" s="338" t="s">
        <v>7525</v>
      </c>
      <c r="E705" s="338" t="s">
        <v>463</v>
      </c>
      <c r="F705" s="338"/>
      <c r="G705" s="338" t="s">
        <v>413</v>
      </c>
      <c r="H705" s="338" t="s">
        <v>425</v>
      </c>
      <c r="I705" s="338" t="s">
        <v>411</v>
      </c>
      <c r="J705" s="339"/>
      <c r="K705" s="339"/>
      <c r="L705" s="339" t="s">
        <v>409</v>
      </c>
      <c r="M705" s="339" t="s">
        <v>409</v>
      </c>
      <c r="N705" s="338"/>
      <c r="O705" s="338" t="s">
        <v>409</v>
      </c>
      <c r="P705" s="338" t="s">
        <v>417</v>
      </c>
    </row>
    <row r="706" spans="2:16" x14ac:dyDescent="0.25">
      <c r="B706" s="336" t="s">
        <v>416</v>
      </c>
      <c r="C706" s="337">
        <v>41253</v>
      </c>
      <c r="D706" s="338" t="s">
        <v>7524</v>
      </c>
      <c r="E706" s="338" t="s">
        <v>441</v>
      </c>
      <c r="F706" s="338"/>
      <c r="G706" s="338" t="s">
        <v>413</v>
      </c>
      <c r="H706" s="338" t="s">
        <v>425</v>
      </c>
      <c r="I706" s="338" t="s">
        <v>411</v>
      </c>
      <c r="J706" s="339"/>
      <c r="K706" s="339"/>
      <c r="L706" s="339" t="s">
        <v>409</v>
      </c>
      <c r="M706" s="339" t="s">
        <v>409</v>
      </c>
      <c r="N706" s="338"/>
      <c r="O706" s="338" t="s">
        <v>409</v>
      </c>
      <c r="P706" s="338" t="s">
        <v>417</v>
      </c>
    </row>
    <row r="707" spans="2:16" x14ac:dyDescent="0.25">
      <c r="B707" s="336" t="s">
        <v>416</v>
      </c>
      <c r="C707" s="337">
        <v>41250</v>
      </c>
      <c r="D707" s="338" t="s">
        <v>945</v>
      </c>
      <c r="E707" s="338" t="s">
        <v>7523</v>
      </c>
      <c r="F707" s="338" t="s">
        <v>7522</v>
      </c>
      <c r="G707" s="338" t="s">
        <v>413</v>
      </c>
      <c r="H707" s="338" t="s">
        <v>425</v>
      </c>
      <c r="I707" s="338" t="s">
        <v>411</v>
      </c>
      <c r="J707" s="339"/>
      <c r="K707" s="339"/>
      <c r="L707" s="339"/>
      <c r="M707" s="339"/>
      <c r="N707" s="338"/>
      <c r="O707" s="338" t="s">
        <v>417</v>
      </c>
      <c r="P707" s="338" t="s">
        <v>410</v>
      </c>
    </row>
    <row r="708" spans="2:16" x14ac:dyDescent="0.25">
      <c r="B708" s="336" t="s">
        <v>416</v>
      </c>
      <c r="C708" s="337">
        <v>41249</v>
      </c>
      <c r="D708" s="338" t="s">
        <v>7521</v>
      </c>
      <c r="E708" s="338" t="s">
        <v>7520</v>
      </c>
      <c r="F708" s="338" t="s">
        <v>7519</v>
      </c>
      <c r="G708" s="338" t="s">
        <v>413</v>
      </c>
      <c r="H708" s="338" t="s">
        <v>425</v>
      </c>
      <c r="I708" s="338" t="s">
        <v>411</v>
      </c>
      <c r="J708" s="339"/>
      <c r="K708" s="339"/>
      <c r="L708" s="339"/>
      <c r="M708" s="339"/>
      <c r="N708" s="338"/>
      <c r="O708" s="338" t="s">
        <v>432</v>
      </c>
      <c r="P708" s="338" t="s">
        <v>605</v>
      </c>
    </row>
    <row r="709" spans="2:16" x14ac:dyDescent="0.25">
      <c r="B709" s="336" t="s">
        <v>416</v>
      </c>
      <c r="C709" s="337">
        <v>41249</v>
      </c>
      <c r="D709" s="338" t="s">
        <v>7518</v>
      </c>
      <c r="E709" s="338" t="s">
        <v>1330</v>
      </c>
      <c r="F709" s="338"/>
      <c r="G709" s="338">
        <v>802.1</v>
      </c>
      <c r="H709" s="338" t="s">
        <v>425</v>
      </c>
      <c r="I709" s="338" t="s">
        <v>411</v>
      </c>
      <c r="J709" s="339"/>
      <c r="K709" s="339"/>
      <c r="L709" s="339" t="s">
        <v>409</v>
      </c>
      <c r="M709" s="339" t="s">
        <v>409</v>
      </c>
      <c r="N709" s="338"/>
      <c r="O709" s="338" t="s">
        <v>409</v>
      </c>
      <c r="P709" s="338" t="s">
        <v>443</v>
      </c>
    </row>
    <row r="710" spans="2:16" x14ac:dyDescent="0.25">
      <c r="B710" s="336" t="s">
        <v>416</v>
      </c>
      <c r="C710" s="337">
        <v>41249</v>
      </c>
      <c r="D710" s="338" t="s">
        <v>7517</v>
      </c>
      <c r="E710" s="338" t="s">
        <v>7516</v>
      </c>
      <c r="F710" s="338"/>
      <c r="G710" s="338" t="s">
        <v>413</v>
      </c>
      <c r="H710" s="338" t="s">
        <v>412</v>
      </c>
      <c r="I710" s="338" t="s">
        <v>411</v>
      </c>
      <c r="J710" s="339"/>
      <c r="K710" s="339"/>
      <c r="L710" s="339" t="s">
        <v>409</v>
      </c>
      <c r="M710" s="339" t="s">
        <v>409</v>
      </c>
      <c r="N710" s="338" t="s">
        <v>417</v>
      </c>
      <c r="O710" s="338" t="s">
        <v>409</v>
      </c>
      <c r="P710" s="338" t="s">
        <v>443</v>
      </c>
    </row>
    <row r="711" spans="2:16" x14ac:dyDescent="0.25">
      <c r="B711" s="336" t="s">
        <v>416</v>
      </c>
      <c r="C711" s="337">
        <v>41249</v>
      </c>
      <c r="D711" s="338" t="s">
        <v>7515</v>
      </c>
      <c r="E711" s="338" t="s">
        <v>761</v>
      </c>
      <c r="F711" s="338"/>
      <c r="G711" s="338">
        <v>20</v>
      </c>
      <c r="H711" s="338" t="s">
        <v>425</v>
      </c>
      <c r="I711" s="338" t="s">
        <v>411</v>
      </c>
      <c r="J711" s="339"/>
      <c r="K711" s="339"/>
      <c r="L711" s="339" t="s">
        <v>409</v>
      </c>
      <c r="M711" s="339" t="s">
        <v>409</v>
      </c>
      <c r="N711" s="338"/>
      <c r="O711" s="338" t="s">
        <v>409</v>
      </c>
      <c r="P711" s="338" t="s">
        <v>417</v>
      </c>
    </row>
    <row r="712" spans="2:16" x14ac:dyDescent="0.25">
      <c r="B712" s="336" t="s">
        <v>416</v>
      </c>
      <c r="C712" s="337">
        <v>41248</v>
      </c>
      <c r="D712" s="338" t="s">
        <v>7514</v>
      </c>
      <c r="E712" s="338" t="s">
        <v>7513</v>
      </c>
      <c r="F712" s="338"/>
      <c r="G712" s="338" t="s">
        <v>413</v>
      </c>
      <c r="H712" s="338" t="s">
        <v>412</v>
      </c>
      <c r="I712" s="338" t="s">
        <v>411</v>
      </c>
      <c r="J712" s="339"/>
      <c r="K712" s="339"/>
      <c r="L712" s="339" t="s">
        <v>409</v>
      </c>
      <c r="M712" s="339" t="s">
        <v>409</v>
      </c>
      <c r="N712" s="338" t="s">
        <v>417</v>
      </c>
      <c r="O712" s="338" t="s">
        <v>409</v>
      </c>
      <c r="P712" s="338" t="s">
        <v>417</v>
      </c>
    </row>
    <row r="713" spans="2:16" x14ac:dyDescent="0.25">
      <c r="B713" s="336" t="s">
        <v>416</v>
      </c>
      <c r="C713" s="337">
        <v>41248</v>
      </c>
      <c r="D713" s="338" t="s">
        <v>2233</v>
      </c>
      <c r="E713" s="338" t="s">
        <v>7512</v>
      </c>
      <c r="F713" s="338" t="s">
        <v>1143</v>
      </c>
      <c r="G713" s="338">
        <v>525</v>
      </c>
      <c r="H713" s="338" t="s">
        <v>425</v>
      </c>
      <c r="I713" s="338" t="s">
        <v>411</v>
      </c>
      <c r="J713" s="339">
        <v>0.48875299999999999</v>
      </c>
      <c r="K713" s="339">
        <v>5.6934100000000001</v>
      </c>
      <c r="L713" s="339">
        <v>2.4007499999999999</v>
      </c>
      <c r="M713" s="339">
        <v>11.4392</v>
      </c>
      <c r="N713" s="338" t="s">
        <v>417</v>
      </c>
      <c r="O713" s="338" t="s">
        <v>417</v>
      </c>
      <c r="P713" s="338"/>
    </row>
    <row r="714" spans="2:16" x14ac:dyDescent="0.25">
      <c r="B714" s="336" t="s">
        <v>416</v>
      </c>
      <c r="C714" s="337">
        <v>41248</v>
      </c>
      <c r="D714" s="338" t="s">
        <v>7511</v>
      </c>
      <c r="E714" s="338" t="s">
        <v>7510</v>
      </c>
      <c r="F714" s="338"/>
      <c r="G714" s="338" t="s">
        <v>413</v>
      </c>
      <c r="H714" s="338" t="s">
        <v>412</v>
      </c>
      <c r="I714" s="338" t="s">
        <v>411</v>
      </c>
      <c r="J714" s="339"/>
      <c r="K714" s="339"/>
      <c r="L714" s="339" t="s">
        <v>409</v>
      </c>
      <c r="M714" s="339" t="s">
        <v>409</v>
      </c>
      <c r="N714" s="338" t="s">
        <v>417</v>
      </c>
      <c r="O714" s="338" t="s">
        <v>409</v>
      </c>
      <c r="P714" s="338" t="s">
        <v>432</v>
      </c>
    </row>
    <row r="715" spans="2:16" x14ac:dyDescent="0.25">
      <c r="B715" s="336" t="s">
        <v>416</v>
      </c>
      <c r="C715" s="337">
        <v>41248</v>
      </c>
      <c r="D715" s="338" t="s">
        <v>7509</v>
      </c>
      <c r="E715" s="338" t="s">
        <v>746</v>
      </c>
      <c r="F715" s="338"/>
      <c r="G715" s="338" t="s">
        <v>413</v>
      </c>
      <c r="H715" s="338" t="s">
        <v>412</v>
      </c>
      <c r="I715" s="338" t="s">
        <v>411</v>
      </c>
      <c r="J715" s="339"/>
      <c r="K715" s="339"/>
      <c r="L715" s="339" t="s">
        <v>409</v>
      </c>
      <c r="M715" s="339" t="s">
        <v>409</v>
      </c>
      <c r="N715" s="338"/>
      <c r="O715" s="338" t="s">
        <v>409</v>
      </c>
      <c r="P715" s="338" t="s">
        <v>417</v>
      </c>
    </row>
    <row r="716" spans="2:16" x14ac:dyDescent="0.25">
      <c r="B716" s="336" t="s">
        <v>416</v>
      </c>
      <c r="C716" s="337">
        <v>41247</v>
      </c>
      <c r="D716" s="338" t="s">
        <v>7508</v>
      </c>
      <c r="E716" s="338" t="s">
        <v>2626</v>
      </c>
      <c r="F716" s="338"/>
      <c r="G716" s="338" t="s">
        <v>413</v>
      </c>
      <c r="H716" s="338" t="s">
        <v>412</v>
      </c>
      <c r="I716" s="338" t="s">
        <v>411</v>
      </c>
      <c r="J716" s="339"/>
      <c r="K716" s="339"/>
      <c r="L716" s="339" t="s">
        <v>409</v>
      </c>
      <c r="M716" s="339" t="s">
        <v>409</v>
      </c>
      <c r="N716" s="338" t="s">
        <v>417</v>
      </c>
      <c r="O716" s="338" t="s">
        <v>409</v>
      </c>
      <c r="P716" s="338" t="s">
        <v>417</v>
      </c>
    </row>
    <row r="717" spans="2:16" x14ac:dyDescent="0.25">
      <c r="B717" s="336" t="s">
        <v>416</v>
      </c>
      <c r="C717" s="337">
        <v>41247</v>
      </c>
      <c r="D717" s="338" t="s">
        <v>7211</v>
      </c>
      <c r="E717" s="338" t="s">
        <v>7507</v>
      </c>
      <c r="F717" s="338"/>
      <c r="G717" s="338" t="s">
        <v>413</v>
      </c>
      <c r="H717" s="338" t="s">
        <v>412</v>
      </c>
      <c r="I717" s="338" t="s">
        <v>411</v>
      </c>
      <c r="J717" s="339"/>
      <c r="K717" s="339"/>
      <c r="L717" s="339" t="s">
        <v>409</v>
      </c>
      <c r="M717" s="339" t="s">
        <v>409</v>
      </c>
      <c r="N717" s="338" t="s">
        <v>417</v>
      </c>
      <c r="O717" s="338" t="s">
        <v>409</v>
      </c>
      <c r="P717" s="338" t="s">
        <v>410</v>
      </c>
    </row>
    <row r="718" spans="2:16" x14ac:dyDescent="0.25">
      <c r="B718" s="336" t="s">
        <v>416</v>
      </c>
      <c r="C718" s="337">
        <v>41247</v>
      </c>
      <c r="D718" s="338" t="s">
        <v>7506</v>
      </c>
      <c r="E718" s="338" t="s">
        <v>475</v>
      </c>
      <c r="F718" s="338" t="s">
        <v>7505</v>
      </c>
      <c r="G718" s="338" t="s">
        <v>413</v>
      </c>
      <c r="H718" s="338" t="s">
        <v>425</v>
      </c>
      <c r="I718" s="338" t="s">
        <v>411</v>
      </c>
      <c r="J718" s="339"/>
      <c r="K718" s="339"/>
      <c r="L718" s="339"/>
      <c r="M718" s="339"/>
      <c r="N718" s="338"/>
      <c r="O718" s="338"/>
      <c r="P718" s="338" t="s">
        <v>417</v>
      </c>
    </row>
    <row r="719" spans="2:16" x14ac:dyDescent="0.25">
      <c r="B719" s="336" t="s">
        <v>416</v>
      </c>
      <c r="C719" s="337">
        <v>41247</v>
      </c>
      <c r="D719" s="338" t="s">
        <v>956</v>
      </c>
      <c r="E719" s="338" t="s">
        <v>7504</v>
      </c>
      <c r="F719" s="338" t="s">
        <v>7503</v>
      </c>
      <c r="G719" s="338" t="s">
        <v>413</v>
      </c>
      <c r="H719" s="338" t="s">
        <v>425</v>
      </c>
      <c r="I719" s="338" t="s">
        <v>411</v>
      </c>
      <c r="J719" s="339"/>
      <c r="K719" s="339"/>
      <c r="L719" s="339"/>
      <c r="M719" s="339"/>
      <c r="N719" s="338"/>
      <c r="O719" s="338" t="s">
        <v>417</v>
      </c>
      <c r="P719" s="338" t="s">
        <v>417</v>
      </c>
    </row>
    <row r="720" spans="2:16" x14ac:dyDescent="0.25">
      <c r="B720" s="336" t="s">
        <v>459</v>
      </c>
      <c r="C720" s="337">
        <v>41247</v>
      </c>
      <c r="D720" s="338" t="s">
        <v>7502</v>
      </c>
      <c r="E720" s="338" t="s">
        <v>7501</v>
      </c>
      <c r="F720" s="338"/>
      <c r="G720" s="338" t="s">
        <v>413</v>
      </c>
      <c r="H720" s="338" t="s">
        <v>425</v>
      </c>
      <c r="I720" s="338" t="s">
        <v>411</v>
      </c>
      <c r="J720" s="339"/>
      <c r="K720" s="339"/>
      <c r="L720" s="339" t="s">
        <v>409</v>
      </c>
      <c r="M720" s="339" t="s">
        <v>409</v>
      </c>
      <c r="N720" s="338" t="s">
        <v>410</v>
      </c>
      <c r="O720" s="338" t="s">
        <v>409</v>
      </c>
      <c r="P720" s="338" t="s">
        <v>443</v>
      </c>
    </row>
    <row r="721" spans="2:16" x14ac:dyDescent="0.25">
      <c r="B721" s="336" t="s">
        <v>459</v>
      </c>
      <c r="C721" s="337">
        <v>41246</v>
      </c>
      <c r="D721" s="338" t="s">
        <v>7500</v>
      </c>
      <c r="E721" s="338" t="s">
        <v>7499</v>
      </c>
      <c r="F721" s="338"/>
      <c r="G721" s="338">
        <v>42</v>
      </c>
      <c r="H721" s="338" t="s">
        <v>425</v>
      </c>
      <c r="I721" s="338" t="s">
        <v>411</v>
      </c>
      <c r="J721" s="339"/>
      <c r="K721" s="339"/>
      <c r="L721" s="339" t="s">
        <v>409</v>
      </c>
      <c r="M721" s="339" t="s">
        <v>409</v>
      </c>
      <c r="N721" s="338" t="s">
        <v>612</v>
      </c>
      <c r="O721" s="338" t="s">
        <v>409</v>
      </c>
      <c r="P721" s="338"/>
    </row>
    <row r="722" spans="2:16" x14ac:dyDescent="0.25">
      <c r="B722" s="336" t="s">
        <v>459</v>
      </c>
      <c r="C722" s="337">
        <v>41246</v>
      </c>
      <c r="D722" s="338" t="s">
        <v>7498</v>
      </c>
      <c r="E722" s="338" t="s">
        <v>7497</v>
      </c>
      <c r="F722" s="338" t="s">
        <v>7496</v>
      </c>
      <c r="G722" s="338" t="s">
        <v>413</v>
      </c>
      <c r="H722" s="338" t="s">
        <v>412</v>
      </c>
      <c r="I722" s="338" t="s">
        <v>411</v>
      </c>
      <c r="J722" s="339"/>
      <c r="K722" s="339"/>
      <c r="L722" s="339"/>
      <c r="M722" s="339"/>
      <c r="N722" s="338" t="s">
        <v>417</v>
      </c>
      <c r="O722" s="338" t="s">
        <v>410</v>
      </c>
      <c r="P722" s="338" t="s">
        <v>487</v>
      </c>
    </row>
    <row r="723" spans="2:16" x14ac:dyDescent="0.25">
      <c r="B723" s="336" t="s">
        <v>459</v>
      </c>
      <c r="C723" s="337">
        <v>41246</v>
      </c>
      <c r="D723" s="338" t="s">
        <v>1583</v>
      </c>
      <c r="E723" s="338" t="s">
        <v>7495</v>
      </c>
      <c r="F723" s="338"/>
      <c r="G723" s="338" t="s">
        <v>413</v>
      </c>
      <c r="H723" s="338" t="s">
        <v>425</v>
      </c>
      <c r="I723" s="338" t="s">
        <v>411</v>
      </c>
      <c r="J723" s="339">
        <v>1.51874</v>
      </c>
      <c r="K723" s="339">
        <v>10.3505</v>
      </c>
      <c r="L723" s="339" t="s">
        <v>409</v>
      </c>
      <c r="M723" s="339" t="s">
        <v>409</v>
      </c>
      <c r="N723" s="338" t="s">
        <v>417</v>
      </c>
      <c r="O723" s="338" t="s">
        <v>409</v>
      </c>
      <c r="P723" s="338"/>
    </row>
    <row r="724" spans="2:16" x14ac:dyDescent="0.25">
      <c r="B724" s="336" t="s">
        <v>459</v>
      </c>
      <c r="C724" s="337">
        <v>41243</v>
      </c>
      <c r="D724" s="338" t="s">
        <v>5450</v>
      </c>
      <c r="E724" s="338" t="s">
        <v>7494</v>
      </c>
      <c r="F724" s="338"/>
      <c r="G724" s="338">
        <v>20</v>
      </c>
      <c r="H724" s="338" t="s">
        <v>425</v>
      </c>
      <c r="I724" s="338" t="s">
        <v>411</v>
      </c>
      <c r="J724" s="339"/>
      <c r="K724" s="339"/>
      <c r="L724" s="339" t="s">
        <v>409</v>
      </c>
      <c r="M724" s="339" t="s">
        <v>409</v>
      </c>
      <c r="N724" s="338" t="s">
        <v>417</v>
      </c>
      <c r="O724" s="338" t="s">
        <v>409</v>
      </c>
      <c r="P724" s="338"/>
    </row>
    <row r="725" spans="2:16" x14ac:dyDescent="0.25">
      <c r="B725" s="336" t="s">
        <v>416</v>
      </c>
      <c r="C725" s="337">
        <v>41243</v>
      </c>
      <c r="D725" s="338" t="s">
        <v>7493</v>
      </c>
      <c r="E725" s="338" t="s">
        <v>7492</v>
      </c>
      <c r="F725" s="338"/>
      <c r="G725" s="338" t="s">
        <v>413</v>
      </c>
      <c r="H725" s="338" t="s">
        <v>412</v>
      </c>
      <c r="I725" s="338" t="s">
        <v>411</v>
      </c>
      <c r="J725" s="339"/>
      <c r="K725" s="339"/>
      <c r="L725" s="339" t="s">
        <v>409</v>
      </c>
      <c r="M725" s="339" t="s">
        <v>409</v>
      </c>
      <c r="N725" s="338" t="s">
        <v>417</v>
      </c>
      <c r="O725" s="338" t="s">
        <v>409</v>
      </c>
      <c r="P725" s="338" t="s">
        <v>417</v>
      </c>
    </row>
    <row r="726" spans="2:16" x14ac:dyDescent="0.25">
      <c r="B726" s="336" t="s">
        <v>416</v>
      </c>
      <c r="C726" s="337">
        <v>41243</v>
      </c>
      <c r="D726" s="338" t="s">
        <v>7491</v>
      </c>
      <c r="E726" s="338" t="s">
        <v>7490</v>
      </c>
      <c r="F726" s="338" t="s">
        <v>7489</v>
      </c>
      <c r="G726" s="338">
        <v>290</v>
      </c>
      <c r="H726" s="338" t="s">
        <v>425</v>
      </c>
      <c r="I726" s="338" t="s">
        <v>411</v>
      </c>
      <c r="J726" s="339"/>
      <c r="K726" s="339"/>
      <c r="L726" s="339"/>
      <c r="M726" s="339"/>
      <c r="N726" s="338" t="s">
        <v>417</v>
      </c>
      <c r="O726" s="338"/>
      <c r="P726" s="338" t="s">
        <v>417</v>
      </c>
    </row>
    <row r="727" spans="2:16" x14ac:dyDescent="0.25">
      <c r="B727" s="336" t="s">
        <v>416</v>
      </c>
      <c r="C727" s="337">
        <v>41243</v>
      </c>
      <c r="D727" s="338" t="s">
        <v>7488</v>
      </c>
      <c r="E727" s="338" t="s">
        <v>7009</v>
      </c>
      <c r="F727" s="338"/>
      <c r="G727" s="338" t="s">
        <v>413</v>
      </c>
      <c r="H727" s="338" t="s">
        <v>412</v>
      </c>
      <c r="I727" s="338" t="s">
        <v>411</v>
      </c>
      <c r="J727" s="339"/>
      <c r="K727" s="339"/>
      <c r="L727" s="339" t="s">
        <v>409</v>
      </c>
      <c r="M727" s="339" t="s">
        <v>409</v>
      </c>
      <c r="N727" s="338" t="s">
        <v>432</v>
      </c>
      <c r="O727" s="338" t="s">
        <v>409</v>
      </c>
      <c r="P727" s="338" t="s">
        <v>417</v>
      </c>
    </row>
    <row r="728" spans="2:16" x14ac:dyDescent="0.25">
      <c r="B728" s="336" t="s">
        <v>1441</v>
      </c>
      <c r="C728" s="337">
        <v>41242</v>
      </c>
      <c r="D728" s="338" t="s">
        <v>7487</v>
      </c>
      <c r="E728" s="338" t="s">
        <v>7486</v>
      </c>
      <c r="F728" s="338"/>
      <c r="G728" s="338" t="s">
        <v>413</v>
      </c>
      <c r="H728" s="338" t="s">
        <v>412</v>
      </c>
      <c r="I728" s="338" t="s">
        <v>1243</v>
      </c>
      <c r="J728" s="339"/>
      <c r="K728" s="339"/>
      <c r="L728" s="339" t="s">
        <v>409</v>
      </c>
      <c r="M728" s="339" t="s">
        <v>409</v>
      </c>
      <c r="N728" s="338" t="s">
        <v>417</v>
      </c>
      <c r="O728" s="338" t="s">
        <v>409</v>
      </c>
      <c r="P728" s="338" t="s">
        <v>432</v>
      </c>
    </row>
    <row r="729" spans="2:16" x14ac:dyDescent="0.25">
      <c r="B729" s="336" t="s">
        <v>416</v>
      </c>
      <c r="C729" s="337">
        <v>41242</v>
      </c>
      <c r="D729" s="338" t="s">
        <v>7485</v>
      </c>
      <c r="E729" s="338" t="s">
        <v>978</v>
      </c>
      <c r="F729" s="338"/>
      <c r="G729" s="338">
        <v>91</v>
      </c>
      <c r="H729" s="338" t="s">
        <v>425</v>
      </c>
      <c r="I729" s="338" t="s">
        <v>411</v>
      </c>
      <c r="J729" s="339"/>
      <c r="K729" s="339"/>
      <c r="L729" s="339" t="s">
        <v>409</v>
      </c>
      <c r="M729" s="339" t="s">
        <v>409</v>
      </c>
      <c r="N729" s="338"/>
      <c r="O729" s="338" t="s">
        <v>409</v>
      </c>
      <c r="P729" s="338" t="s">
        <v>417</v>
      </c>
    </row>
    <row r="730" spans="2:16" x14ac:dyDescent="0.25">
      <c r="B730" s="336" t="s">
        <v>416</v>
      </c>
      <c r="C730" s="337">
        <v>41241</v>
      </c>
      <c r="D730" s="338" t="s">
        <v>7484</v>
      </c>
      <c r="E730" s="338" t="s">
        <v>5677</v>
      </c>
      <c r="F730" s="338"/>
      <c r="G730" s="338">
        <v>11</v>
      </c>
      <c r="H730" s="338" t="s">
        <v>425</v>
      </c>
      <c r="I730" s="338" t="s">
        <v>411</v>
      </c>
      <c r="J730" s="339"/>
      <c r="K730" s="339"/>
      <c r="L730" s="339" t="s">
        <v>409</v>
      </c>
      <c r="M730" s="339" t="s">
        <v>409</v>
      </c>
      <c r="N730" s="338" t="s">
        <v>417</v>
      </c>
      <c r="O730" s="338" t="s">
        <v>409</v>
      </c>
      <c r="P730" s="338" t="s">
        <v>417</v>
      </c>
    </row>
    <row r="731" spans="2:16" x14ac:dyDescent="0.25">
      <c r="B731" s="336" t="s">
        <v>416</v>
      </c>
      <c r="C731" s="337">
        <v>41241</v>
      </c>
      <c r="D731" s="338" t="s">
        <v>7483</v>
      </c>
      <c r="E731" s="338" t="s">
        <v>7482</v>
      </c>
      <c r="F731" s="338" t="s">
        <v>1619</v>
      </c>
      <c r="G731" s="338" t="s">
        <v>413</v>
      </c>
      <c r="H731" s="338" t="s">
        <v>425</v>
      </c>
      <c r="I731" s="338" t="s">
        <v>411</v>
      </c>
      <c r="J731" s="339"/>
      <c r="K731" s="339"/>
      <c r="L731" s="339">
        <v>0.91461099999999995</v>
      </c>
      <c r="M731" s="339">
        <v>13.7773</v>
      </c>
      <c r="N731" s="338" t="s">
        <v>417</v>
      </c>
      <c r="O731" s="338" t="s">
        <v>417</v>
      </c>
      <c r="P731" s="338" t="s">
        <v>417</v>
      </c>
    </row>
    <row r="732" spans="2:16" x14ac:dyDescent="0.25">
      <c r="B732" s="336" t="s">
        <v>416</v>
      </c>
      <c r="C732" s="337">
        <v>41240</v>
      </c>
      <c r="D732" s="338" t="s">
        <v>7481</v>
      </c>
      <c r="E732" s="338" t="s">
        <v>7480</v>
      </c>
      <c r="F732" s="338"/>
      <c r="G732" s="338" t="s">
        <v>413</v>
      </c>
      <c r="H732" s="338" t="s">
        <v>412</v>
      </c>
      <c r="I732" s="338" t="s">
        <v>411</v>
      </c>
      <c r="J732" s="339"/>
      <c r="K732" s="339"/>
      <c r="L732" s="339" t="s">
        <v>409</v>
      </c>
      <c r="M732" s="339" t="s">
        <v>409</v>
      </c>
      <c r="N732" s="338" t="s">
        <v>432</v>
      </c>
      <c r="O732" s="338" t="s">
        <v>409</v>
      </c>
      <c r="P732" s="338" t="s">
        <v>417</v>
      </c>
    </row>
    <row r="733" spans="2:16" x14ac:dyDescent="0.25">
      <c r="B733" s="336" t="s">
        <v>416</v>
      </c>
      <c r="C733" s="337">
        <v>41240</v>
      </c>
      <c r="D733" s="338" t="s">
        <v>945</v>
      </c>
      <c r="E733" s="338" t="s">
        <v>3228</v>
      </c>
      <c r="F733" s="338" t="s">
        <v>7479</v>
      </c>
      <c r="G733" s="338" t="s">
        <v>413</v>
      </c>
      <c r="H733" s="338" t="s">
        <v>425</v>
      </c>
      <c r="I733" s="338" t="s">
        <v>411</v>
      </c>
      <c r="J733" s="339"/>
      <c r="K733" s="339"/>
      <c r="L733" s="339"/>
      <c r="M733" s="339"/>
      <c r="N733" s="338"/>
      <c r="O733" s="338" t="s">
        <v>443</v>
      </c>
      <c r="P733" s="338" t="s">
        <v>417</v>
      </c>
    </row>
    <row r="734" spans="2:16" x14ac:dyDescent="0.25">
      <c r="B734" s="336" t="s">
        <v>416</v>
      </c>
      <c r="C734" s="337">
        <v>41239</v>
      </c>
      <c r="D734" s="338" t="s">
        <v>7478</v>
      </c>
      <c r="E734" s="338" t="s">
        <v>7477</v>
      </c>
      <c r="F734" s="338" t="s">
        <v>7476</v>
      </c>
      <c r="G734" s="338">
        <v>130</v>
      </c>
      <c r="H734" s="338" t="s">
        <v>425</v>
      </c>
      <c r="I734" s="338" t="s">
        <v>1243</v>
      </c>
      <c r="J734" s="339"/>
      <c r="K734" s="339"/>
      <c r="L734" s="339"/>
      <c r="M734" s="339"/>
      <c r="N734" s="338" t="s">
        <v>417</v>
      </c>
      <c r="O734" s="338" t="s">
        <v>417</v>
      </c>
      <c r="P734" s="338" t="s">
        <v>417</v>
      </c>
    </row>
    <row r="735" spans="2:16" x14ac:dyDescent="0.25">
      <c r="B735" s="336" t="s">
        <v>416</v>
      </c>
      <c r="C735" s="337">
        <v>41239</v>
      </c>
      <c r="D735" s="338" t="s">
        <v>956</v>
      </c>
      <c r="E735" s="338" t="s">
        <v>7046</v>
      </c>
      <c r="F735" s="338" t="s">
        <v>7348</v>
      </c>
      <c r="G735" s="338" t="s">
        <v>413</v>
      </c>
      <c r="H735" s="338" t="s">
        <v>425</v>
      </c>
      <c r="I735" s="338" t="s">
        <v>411</v>
      </c>
      <c r="J735" s="339"/>
      <c r="K735" s="339"/>
      <c r="L735" s="339"/>
      <c r="M735" s="339"/>
      <c r="N735" s="338"/>
      <c r="O735" s="338" t="s">
        <v>417</v>
      </c>
      <c r="P735" s="338" t="s">
        <v>543</v>
      </c>
    </row>
    <row r="736" spans="2:16" x14ac:dyDescent="0.25">
      <c r="B736" s="336" t="s">
        <v>416</v>
      </c>
      <c r="C736" s="337">
        <v>41239</v>
      </c>
      <c r="D736" s="338" t="s">
        <v>4886</v>
      </c>
      <c r="E736" s="338" t="s">
        <v>1217</v>
      </c>
      <c r="F736" s="338" t="s">
        <v>3642</v>
      </c>
      <c r="G736" s="338" t="s">
        <v>413</v>
      </c>
      <c r="H736" s="338" t="s">
        <v>425</v>
      </c>
      <c r="I736" s="338" t="s">
        <v>411</v>
      </c>
      <c r="J736" s="339"/>
      <c r="K736" s="339"/>
      <c r="L736" s="339"/>
      <c r="M736" s="339"/>
      <c r="N736" s="338" t="s">
        <v>410</v>
      </c>
      <c r="O736" s="338" t="s">
        <v>443</v>
      </c>
      <c r="P736" s="338" t="s">
        <v>410</v>
      </c>
    </row>
    <row r="737" spans="2:16" x14ac:dyDescent="0.25">
      <c r="B737" s="336" t="s">
        <v>459</v>
      </c>
      <c r="C737" s="337">
        <v>41234</v>
      </c>
      <c r="D737" s="338" t="s">
        <v>6010</v>
      </c>
      <c r="E737" s="338" t="s">
        <v>7475</v>
      </c>
      <c r="F737" s="338"/>
      <c r="G737" s="338">
        <v>36</v>
      </c>
      <c r="H737" s="338" t="s">
        <v>425</v>
      </c>
      <c r="I737" s="338" t="s">
        <v>411</v>
      </c>
      <c r="J737" s="339"/>
      <c r="K737" s="339"/>
      <c r="L737" s="339" t="s">
        <v>409</v>
      </c>
      <c r="M737" s="339" t="s">
        <v>409</v>
      </c>
      <c r="N737" s="338" t="s">
        <v>417</v>
      </c>
      <c r="O737" s="338" t="s">
        <v>409</v>
      </c>
      <c r="P737" s="338"/>
    </row>
    <row r="738" spans="2:16" x14ac:dyDescent="0.25">
      <c r="B738" s="336" t="s">
        <v>416</v>
      </c>
      <c r="C738" s="337">
        <v>41234</v>
      </c>
      <c r="D738" s="338" t="s">
        <v>7474</v>
      </c>
      <c r="E738" s="338" t="s">
        <v>7473</v>
      </c>
      <c r="F738" s="338"/>
      <c r="G738" s="338" t="s">
        <v>413</v>
      </c>
      <c r="H738" s="338" t="s">
        <v>412</v>
      </c>
      <c r="I738" s="338" t="s">
        <v>411</v>
      </c>
      <c r="J738" s="339"/>
      <c r="K738" s="339"/>
      <c r="L738" s="339" t="s">
        <v>409</v>
      </c>
      <c r="M738" s="339" t="s">
        <v>409</v>
      </c>
      <c r="N738" s="338" t="s">
        <v>410</v>
      </c>
      <c r="O738" s="338" t="s">
        <v>409</v>
      </c>
      <c r="P738" s="338" t="s">
        <v>487</v>
      </c>
    </row>
    <row r="739" spans="2:16" x14ac:dyDescent="0.25">
      <c r="B739" s="336" t="s">
        <v>416</v>
      </c>
      <c r="C739" s="337">
        <v>41234</v>
      </c>
      <c r="D739" s="338" t="s">
        <v>7472</v>
      </c>
      <c r="E739" s="338" t="s">
        <v>7471</v>
      </c>
      <c r="F739" s="338" t="s">
        <v>7470</v>
      </c>
      <c r="G739" s="338" t="s">
        <v>413</v>
      </c>
      <c r="H739" s="338" t="s">
        <v>425</v>
      </c>
      <c r="I739" s="338" t="s">
        <v>411</v>
      </c>
      <c r="J739" s="339"/>
      <c r="K739" s="339"/>
      <c r="L739" s="339"/>
      <c r="M739" s="339"/>
      <c r="N739" s="338"/>
      <c r="O739" s="338" t="s">
        <v>410</v>
      </c>
      <c r="P739" s="338" t="s">
        <v>410</v>
      </c>
    </row>
    <row r="740" spans="2:16" x14ac:dyDescent="0.25">
      <c r="B740" s="336" t="s">
        <v>416</v>
      </c>
      <c r="C740" s="337">
        <v>41234</v>
      </c>
      <c r="D740" s="338" t="s">
        <v>7469</v>
      </c>
      <c r="E740" s="338" t="s">
        <v>7468</v>
      </c>
      <c r="F740" s="338"/>
      <c r="G740" s="338" t="s">
        <v>413</v>
      </c>
      <c r="H740" s="338" t="s">
        <v>412</v>
      </c>
      <c r="I740" s="338" t="s">
        <v>411</v>
      </c>
      <c r="J740" s="339"/>
      <c r="K740" s="339"/>
      <c r="L740" s="339" t="s">
        <v>409</v>
      </c>
      <c r="M740" s="339" t="s">
        <v>409</v>
      </c>
      <c r="N740" s="338" t="s">
        <v>410</v>
      </c>
      <c r="O740" s="338" t="s">
        <v>409</v>
      </c>
      <c r="P740" s="338" t="s">
        <v>417</v>
      </c>
    </row>
    <row r="741" spans="2:16" x14ac:dyDescent="0.25">
      <c r="B741" s="336" t="s">
        <v>416</v>
      </c>
      <c r="C741" s="337">
        <v>41233</v>
      </c>
      <c r="D741" s="338" t="s">
        <v>7467</v>
      </c>
      <c r="E741" s="338" t="s">
        <v>6924</v>
      </c>
      <c r="F741" s="338"/>
      <c r="G741" s="338" t="s">
        <v>413</v>
      </c>
      <c r="H741" s="338" t="s">
        <v>412</v>
      </c>
      <c r="I741" s="338" t="s">
        <v>411</v>
      </c>
      <c r="J741" s="339"/>
      <c r="K741" s="339"/>
      <c r="L741" s="339" t="s">
        <v>409</v>
      </c>
      <c r="M741" s="339" t="s">
        <v>409</v>
      </c>
      <c r="N741" s="338" t="s">
        <v>432</v>
      </c>
      <c r="O741" s="338" t="s">
        <v>409</v>
      </c>
      <c r="P741" s="338" t="s">
        <v>417</v>
      </c>
    </row>
    <row r="742" spans="2:16" x14ac:dyDescent="0.25">
      <c r="B742" s="336" t="s">
        <v>416</v>
      </c>
      <c r="C742" s="337">
        <v>41233</v>
      </c>
      <c r="D742" s="338" t="s">
        <v>7466</v>
      </c>
      <c r="E742" s="338" t="s">
        <v>5202</v>
      </c>
      <c r="F742" s="338" t="s">
        <v>2273</v>
      </c>
      <c r="G742" s="338" t="s">
        <v>413</v>
      </c>
      <c r="H742" s="338" t="s">
        <v>425</v>
      </c>
      <c r="I742" s="338" t="s">
        <v>411</v>
      </c>
      <c r="J742" s="339"/>
      <c r="K742" s="339"/>
      <c r="L742" s="339">
        <v>3.3634900000000001</v>
      </c>
      <c r="M742" s="339">
        <v>8.9139300000000006</v>
      </c>
      <c r="N742" s="338"/>
      <c r="O742" s="338" t="s">
        <v>417</v>
      </c>
      <c r="P742" s="338" t="s">
        <v>417</v>
      </c>
    </row>
    <row r="743" spans="2:16" x14ac:dyDescent="0.25">
      <c r="B743" s="336" t="s">
        <v>416</v>
      </c>
      <c r="C743" s="337">
        <v>41230</v>
      </c>
      <c r="D743" s="338" t="s">
        <v>7465</v>
      </c>
      <c r="E743" s="338" t="s">
        <v>6198</v>
      </c>
      <c r="F743" s="338" t="s">
        <v>5271</v>
      </c>
      <c r="G743" s="338">
        <v>240</v>
      </c>
      <c r="H743" s="338" t="s">
        <v>425</v>
      </c>
      <c r="I743" s="338" t="s">
        <v>411</v>
      </c>
      <c r="J743" s="339"/>
      <c r="K743" s="339"/>
      <c r="L743" s="339"/>
      <c r="M743" s="339"/>
      <c r="N743" s="338"/>
      <c r="O743" s="338" t="s">
        <v>417</v>
      </c>
      <c r="P743" s="338" t="s">
        <v>417</v>
      </c>
    </row>
    <row r="744" spans="2:16" x14ac:dyDescent="0.25">
      <c r="B744" s="336" t="s">
        <v>416</v>
      </c>
      <c r="C744" s="337">
        <v>41229</v>
      </c>
      <c r="D744" s="338" t="s">
        <v>7464</v>
      </c>
      <c r="E744" s="338" t="s">
        <v>7463</v>
      </c>
      <c r="F744" s="338" t="s">
        <v>7462</v>
      </c>
      <c r="G744" s="338" t="s">
        <v>413</v>
      </c>
      <c r="H744" s="338" t="s">
        <v>425</v>
      </c>
      <c r="I744" s="338" t="s">
        <v>411</v>
      </c>
      <c r="J744" s="339"/>
      <c r="K744" s="339"/>
      <c r="L744" s="339"/>
      <c r="M744" s="339"/>
      <c r="N744" s="338"/>
      <c r="O744" s="338" t="s">
        <v>417</v>
      </c>
      <c r="P744" s="338" t="s">
        <v>417</v>
      </c>
    </row>
    <row r="745" spans="2:16" x14ac:dyDescent="0.25">
      <c r="B745" s="336" t="s">
        <v>416</v>
      </c>
      <c r="C745" s="337">
        <v>41229</v>
      </c>
      <c r="D745" s="338" t="s">
        <v>7461</v>
      </c>
      <c r="E745" s="338" t="s">
        <v>7460</v>
      </c>
      <c r="F745" s="338"/>
      <c r="G745" s="338">
        <v>11.5</v>
      </c>
      <c r="H745" s="338" t="s">
        <v>425</v>
      </c>
      <c r="I745" s="338" t="s">
        <v>411</v>
      </c>
      <c r="J745" s="339"/>
      <c r="K745" s="339"/>
      <c r="L745" s="339" t="s">
        <v>409</v>
      </c>
      <c r="M745" s="339" t="s">
        <v>409</v>
      </c>
      <c r="N745" s="338" t="s">
        <v>417</v>
      </c>
      <c r="O745" s="338" t="s">
        <v>409</v>
      </c>
      <c r="P745" s="338"/>
    </row>
    <row r="746" spans="2:16" x14ac:dyDescent="0.25">
      <c r="B746" s="336" t="s">
        <v>416</v>
      </c>
      <c r="C746" s="337">
        <v>41228</v>
      </c>
      <c r="D746" s="338" t="s">
        <v>7459</v>
      </c>
      <c r="E746" s="338" t="s">
        <v>3876</v>
      </c>
      <c r="F746" s="338" t="s">
        <v>7458</v>
      </c>
      <c r="G746" s="338" t="s">
        <v>413</v>
      </c>
      <c r="H746" s="338" t="s">
        <v>425</v>
      </c>
      <c r="I746" s="338" t="s">
        <v>411</v>
      </c>
      <c r="J746" s="339"/>
      <c r="K746" s="339"/>
      <c r="L746" s="339"/>
      <c r="M746" s="339"/>
      <c r="N746" s="338"/>
      <c r="O746" s="338" t="s">
        <v>417</v>
      </c>
      <c r="P746" s="338" t="s">
        <v>417</v>
      </c>
    </row>
    <row r="747" spans="2:16" x14ac:dyDescent="0.25">
      <c r="B747" s="336" t="s">
        <v>416</v>
      </c>
      <c r="C747" s="337">
        <v>41228</v>
      </c>
      <c r="D747" s="338" t="s">
        <v>7457</v>
      </c>
      <c r="E747" s="338" t="s">
        <v>514</v>
      </c>
      <c r="F747" s="338"/>
      <c r="G747" s="338" t="s">
        <v>413</v>
      </c>
      <c r="H747" s="338" t="s">
        <v>412</v>
      </c>
      <c r="I747" s="338" t="s">
        <v>411</v>
      </c>
      <c r="J747" s="339"/>
      <c r="K747" s="339"/>
      <c r="L747" s="339" t="s">
        <v>409</v>
      </c>
      <c r="M747" s="339" t="s">
        <v>409</v>
      </c>
      <c r="N747" s="338" t="s">
        <v>417</v>
      </c>
      <c r="O747" s="338" t="s">
        <v>409</v>
      </c>
      <c r="P747" s="338"/>
    </row>
    <row r="748" spans="2:16" x14ac:dyDescent="0.25">
      <c r="B748" s="336" t="s">
        <v>541</v>
      </c>
      <c r="C748" s="337">
        <v>41228</v>
      </c>
      <c r="D748" s="338" t="s">
        <v>7456</v>
      </c>
      <c r="E748" s="338" t="s">
        <v>539</v>
      </c>
      <c r="F748" s="338" t="s">
        <v>419</v>
      </c>
      <c r="G748" s="338">
        <v>3461.34</v>
      </c>
      <c r="H748" s="338"/>
      <c r="I748" s="338" t="s">
        <v>411</v>
      </c>
      <c r="J748" s="339"/>
      <c r="K748" s="339"/>
      <c r="L748" s="339">
        <v>0.64154199999999995</v>
      </c>
      <c r="M748" s="339">
        <v>2.8073899999999998</v>
      </c>
      <c r="N748" s="338" t="s">
        <v>417</v>
      </c>
      <c r="O748" s="338" t="s">
        <v>417</v>
      </c>
      <c r="P748" s="338" t="s">
        <v>409</v>
      </c>
    </row>
    <row r="749" spans="2:16" x14ac:dyDescent="0.25">
      <c r="B749" s="336" t="s">
        <v>416</v>
      </c>
      <c r="C749" s="337">
        <v>41228</v>
      </c>
      <c r="D749" s="338" t="s">
        <v>1617</v>
      </c>
      <c r="E749" s="338" t="s">
        <v>7455</v>
      </c>
      <c r="F749" s="338"/>
      <c r="G749" s="338">
        <v>130.33000000000001</v>
      </c>
      <c r="H749" s="338" t="s">
        <v>425</v>
      </c>
      <c r="I749" s="338" t="s">
        <v>411</v>
      </c>
      <c r="J749" s="339">
        <v>2.0437500000000002</v>
      </c>
      <c r="K749" s="339">
        <v>15.439</v>
      </c>
      <c r="L749" s="339" t="s">
        <v>409</v>
      </c>
      <c r="M749" s="339" t="s">
        <v>409</v>
      </c>
      <c r="N749" s="338" t="s">
        <v>417</v>
      </c>
      <c r="O749" s="338" t="s">
        <v>409</v>
      </c>
      <c r="P749" s="338" t="s">
        <v>443</v>
      </c>
    </row>
    <row r="750" spans="2:16" x14ac:dyDescent="0.25">
      <c r="B750" s="336" t="s">
        <v>416</v>
      </c>
      <c r="C750" s="337">
        <v>41227</v>
      </c>
      <c r="D750" s="338" t="s">
        <v>7454</v>
      </c>
      <c r="E750" s="338" t="s">
        <v>7453</v>
      </c>
      <c r="F750" s="338"/>
      <c r="G750" s="338" t="s">
        <v>413</v>
      </c>
      <c r="H750" s="338" t="s">
        <v>336</v>
      </c>
      <c r="I750" s="338" t="s">
        <v>411</v>
      </c>
      <c r="J750" s="339"/>
      <c r="K750" s="339"/>
      <c r="L750" s="339" t="s">
        <v>409</v>
      </c>
      <c r="M750" s="339" t="s">
        <v>409</v>
      </c>
      <c r="N750" s="338" t="s">
        <v>417</v>
      </c>
      <c r="O750" s="338" t="s">
        <v>409</v>
      </c>
      <c r="P750" s="338" t="s">
        <v>417</v>
      </c>
    </row>
    <row r="751" spans="2:16" x14ac:dyDescent="0.25">
      <c r="B751" s="336" t="s">
        <v>416</v>
      </c>
      <c r="C751" s="337">
        <v>41227</v>
      </c>
      <c r="D751" s="338" t="s">
        <v>7452</v>
      </c>
      <c r="E751" s="338" t="s">
        <v>2068</v>
      </c>
      <c r="F751" s="338"/>
      <c r="G751" s="338">
        <v>12.5</v>
      </c>
      <c r="H751" s="338" t="s">
        <v>425</v>
      </c>
      <c r="I751" s="338" t="s">
        <v>411</v>
      </c>
      <c r="J751" s="339"/>
      <c r="K751" s="339"/>
      <c r="L751" s="339" t="s">
        <v>409</v>
      </c>
      <c r="M751" s="339" t="s">
        <v>409</v>
      </c>
      <c r="N751" s="338" t="s">
        <v>410</v>
      </c>
      <c r="O751" s="338" t="s">
        <v>409</v>
      </c>
      <c r="P751" s="338" t="s">
        <v>417</v>
      </c>
    </row>
    <row r="752" spans="2:16" x14ac:dyDescent="0.25">
      <c r="B752" s="336" t="s">
        <v>416</v>
      </c>
      <c r="C752" s="337">
        <v>41227</v>
      </c>
      <c r="D752" s="338" t="s">
        <v>6979</v>
      </c>
      <c r="E752" s="338" t="s">
        <v>1079</v>
      </c>
      <c r="F752" s="338"/>
      <c r="G752" s="338">
        <v>626.37</v>
      </c>
      <c r="H752" s="338" t="s">
        <v>425</v>
      </c>
      <c r="I752" s="338" t="s">
        <v>411</v>
      </c>
      <c r="J752" s="339">
        <v>2.1759499999999998</v>
      </c>
      <c r="K752" s="339">
        <v>13.2904</v>
      </c>
      <c r="L752" s="339" t="s">
        <v>409</v>
      </c>
      <c r="M752" s="339" t="s">
        <v>409</v>
      </c>
      <c r="N752" s="338" t="s">
        <v>417</v>
      </c>
      <c r="O752" s="338" t="s">
        <v>409</v>
      </c>
      <c r="P752" s="338" t="s">
        <v>417</v>
      </c>
    </row>
    <row r="753" spans="2:16" x14ac:dyDescent="0.25">
      <c r="B753" s="336" t="s">
        <v>416</v>
      </c>
      <c r="C753" s="337">
        <v>41226</v>
      </c>
      <c r="D753" s="338" t="s">
        <v>7451</v>
      </c>
      <c r="E753" s="338" t="s">
        <v>6121</v>
      </c>
      <c r="F753" s="338"/>
      <c r="G753" s="338" t="s">
        <v>413</v>
      </c>
      <c r="H753" s="338" t="s">
        <v>412</v>
      </c>
      <c r="I753" s="338" t="s">
        <v>411</v>
      </c>
      <c r="J753" s="339"/>
      <c r="K753" s="339"/>
      <c r="L753" s="339" t="s">
        <v>409</v>
      </c>
      <c r="M753" s="339" t="s">
        <v>409</v>
      </c>
      <c r="N753" s="338" t="s">
        <v>417</v>
      </c>
      <c r="O753" s="338" t="s">
        <v>409</v>
      </c>
      <c r="P753" s="338" t="s">
        <v>417</v>
      </c>
    </row>
    <row r="754" spans="2:16" x14ac:dyDescent="0.25">
      <c r="B754" s="336" t="s">
        <v>416</v>
      </c>
      <c r="C754" s="337">
        <v>41226</v>
      </c>
      <c r="D754" s="338" t="s">
        <v>7450</v>
      </c>
      <c r="E754" s="338" t="s">
        <v>7449</v>
      </c>
      <c r="F754" s="338"/>
      <c r="G754" s="338" t="s">
        <v>413</v>
      </c>
      <c r="H754" s="338" t="s">
        <v>412</v>
      </c>
      <c r="I754" s="338" t="s">
        <v>411</v>
      </c>
      <c r="J754" s="339"/>
      <c r="K754" s="339"/>
      <c r="L754" s="339" t="s">
        <v>409</v>
      </c>
      <c r="M754" s="339" t="s">
        <v>409</v>
      </c>
      <c r="N754" s="338" t="s">
        <v>432</v>
      </c>
      <c r="O754" s="338" t="s">
        <v>409</v>
      </c>
      <c r="P754" s="338" t="s">
        <v>417</v>
      </c>
    </row>
    <row r="755" spans="2:16" x14ac:dyDescent="0.25">
      <c r="B755" s="336" t="s">
        <v>416</v>
      </c>
      <c r="C755" s="337">
        <v>41226</v>
      </c>
      <c r="D755" s="338" t="s">
        <v>7448</v>
      </c>
      <c r="E755" s="338" t="s">
        <v>905</v>
      </c>
      <c r="F755" s="338"/>
      <c r="G755" s="338" t="s">
        <v>413</v>
      </c>
      <c r="H755" s="338" t="s">
        <v>425</v>
      </c>
      <c r="I755" s="338" t="s">
        <v>411</v>
      </c>
      <c r="J755" s="339"/>
      <c r="K755" s="339"/>
      <c r="L755" s="339" t="s">
        <v>409</v>
      </c>
      <c r="M755" s="339" t="s">
        <v>409</v>
      </c>
      <c r="N755" s="338"/>
      <c r="O755" s="338" t="s">
        <v>409</v>
      </c>
      <c r="P755" s="338" t="s">
        <v>417</v>
      </c>
    </row>
    <row r="756" spans="2:16" x14ac:dyDescent="0.25">
      <c r="B756" s="336" t="s">
        <v>416</v>
      </c>
      <c r="C756" s="337">
        <v>41225</v>
      </c>
      <c r="D756" s="338" t="s">
        <v>7447</v>
      </c>
      <c r="E756" s="338" t="s">
        <v>1529</v>
      </c>
      <c r="F756" s="338" t="s">
        <v>7446</v>
      </c>
      <c r="G756" s="338" t="s">
        <v>413</v>
      </c>
      <c r="H756" s="338" t="s">
        <v>425</v>
      </c>
      <c r="I756" s="338" t="s">
        <v>411</v>
      </c>
      <c r="J756" s="339"/>
      <c r="K756" s="339"/>
      <c r="L756" s="339"/>
      <c r="M756" s="339"/>
      <c r="N756" s="338"/>
      <c r="O756" s="338" t="s">
        <v>417</v>
      </c>
      <c r="P756" s="338" t="s">
        <v>410</v>
      </c>
    </row>
    <row r="757" spans="2:16" x14ac:dyDescent="0.25">
      <c r="B757" s="336" t="s">
        <v>416</v>
      </c>
      <c r="C757" s="337">
        <v>41225</v>
      </c>
      <c r="D757" s="338" t="s">
        <v>7445</v>
      </c>
      <c r="E757" s="338" t="s">
        <v>7356</v>
      </c>
      <c r="F757" s="338"/>
      <c r="G757" s="338" t="s">
        <v>413</v>
      </c>
      <c r="H757" s="338" t="s">
        <v>412</v>
      </c>
      <c r="I757" s="338" t="s">
        <v>411</v>
      </c>
      <c r="J757" s="339"/>
      <c r="K757" s="339"/>
      <c r="L757" s="339" t="s">
        <v>409</v>
      </c>
      <c r="M757" s="339" t="s">
        <v>409</v>
      </c>
      <c r="N757" s="338" t="s">
        <v>432</v>
      </c>
      <c r="O757" s="338" t="s">
        <v>409</v>
      </c>
      <c r="P757" s="338" t="s">
        <v>410</v>
      </c>
    </row>
    <row r="758" spans="2:16" x14ac:dyDescent="0.25">
      <c r="B758" s="336" t="s">
        <v>1441</v>
      </c>
      <c r="C758" s="337">
        <v>41225</v>
      </c>
      <c r="D758" s="338" t="s">
        <v>889</v>
      </c>
      <c r="E758" s="338" t="s">
        <v>6144</v>
      </c>
      <c r="F758" s="338"/>
      <c r="G758" s="338" t="s">
        <v>413</v>
      </c>
      <c r="H758" s="338" t="s">
        <v>412</v>
      </c>
      <c r="I758" s="338" t="s">
        <v>411</v>
      </c>
      <c r="J758" s="339">
        <v>2.9470299999999998</v>
      </c>
      <c r="K758" s="339">
        <v>13.790100000000001</v>
      </c>
      <c r="L758" s="339" t="s">
        <v>409</v>
      </c>
      <c r="M758" s="339" t="s">
        <v>409</v>
      </c>
      <c r="N758" s="338" t="s">
        <v>410</v>
      </c>
      <c r="O758" s="338" t="s">
        <v>409</v>
      </c>
      <c r="P758" s="338" t="s">
        <v>410</v>
      </c>
    </row>
    <row r="759" spans="2:16" x14ac:dyDescent="0.25">
      <c r="B759" s="336" t="s">
        <v>459</v>
      </c>
      <c r="C759" s="337">
        <v>41222</v>
      </c>
      <c r="D759" s="338" t="s">
        <v>7444</v>
      </c>
      <c r="E759" s="338" t="s">
        <v>480</v>
      </c>
      <c r="F759" s="338"/>
      <c r="G759" s="338">
        <v>15</v>
      </c>
      <c r="H759" s="338" t="s">
        <v>425</v>
      </c>
      <c r="I759" s="338" t="s">
        <v>411</v>
      </c>
      <c r="J759" s="339"/>
      <c r="K759" s="339"/>
      <c r="L759" s="339" t="s">
        <v>409</v>
      </c>
      <c r="M759" s="339" t="s">
        <v>409</v>
      </c>
      <c r="N759" s="338" t="s">
        <v>417</v>
      </c>
      <c r="O759" s="338" t="s">
        <v>409</v>
      </c>
      <c r="P759" s="338" t="s">
        <v>443</v>
      </c>
    </row>
    <row r="760" spans="2:16" x14ac:dyDescent="0.25">
      <c r="B760" s="336" t="s">
        <v>416</v>
      </c>
      <c r="C760" s="337">
        <v>41221</v>
      </c>
      <c r="D760" s="338" t="s">
        <v>7443</v>
      </c>
      <c r="E760" s="338" t="s">
        <v>7442</v>
      </c>
      <c r="F760" s="338"/>
      <c r="G760" s="338" t="s">
        <v>413</v>
      </c>
      <c r="H760" s="338" t="s">
        <v>412</v>
      </c>
      <c r="I760" s="338" t="s">
        <v>411</v>
      </c>
      <c r="J760" s="339"/>
      <c r="K760" s="339"/>
      <c r="L760" s="339" t="s">
        <v>409</v>
      </c>
      <c r="M760" s="339" t="s">
        <v>409</v>
      </c>
      <c r="N760" s="338" t="s">
        <v>417</v>
      </c>
      <c r="O760" s="338" t="s">
        <v>409</v>
      </c>
      <c r="P760" s="338" t="s">
        <v>417</v>
      </c>
    </row>
    <row r="761" spans="2:16" x14ac:dyDescent="0.25">
      <c r="B761" s="336" t="s">
        <v>416</v>
      </c>
      <c r="C761" s="337">
        <v>41221</v>
      </c>
      <c r="D761" s="338" t="s">
        <v>7441</v>
      </c>
      <c r="E761" s="338" t="s">
        <v>7440</v>
      </c>
      <c r="F761" s="338" t="s">
        <v>1143</v>
      </c>
      <c r="G761" s="338">
        <v>215</v>
      </c>
      <c r="H761" s="338" t="s">
        <v>425</v>
      </c>
      <c r="I761" s="338" t="s">
        <v>411</v>
      </c>
      <c r="J761" s="339"/>
      <c r="K761" s="339"/>
      <c r="L761" s="339">
        <v>2.4007499999999999</v>
      </c>
      <c r="M761" s="339">
        <v>11.4392</v>
      </c>
      <c r="N761" s="338"/>
      <c r="O761" s="338" t="s">
        <v>417</v>
      </c>
      <c r="P761" s="338" t="s">
        <v>417</v>
      </c>
    </row>
    <row r="762" spans="2:16" x14ac:dyDescent="0.25">
      <c r="B762" s="336" t="s">
        <v>416</v>
      </c>
      <c r="C762" s="337">
        <v>41219</v>
      </c>
      <c r="D762" s="338" t="s">
        <v>7439</v>
      </c>
      <c r="E762" s="338" t="s">
        <v>7438</v>
      </c>
      <c r="F762" s="338" t="s">
        <v>1032</v>
      </c>
      <c r="G762" s="338" t="s">
        <v>413</v>
      </c>
      <c r="H762" s="338" t="s">
        <v>425</v>
      </c>
      <c r="I762" s="338" t="s">
        <v>411</v>
      </c>
      <c r="J762" s="339"/>
      <c r="K762" s="339"/>
      <c r="L762" s="339">
        <v>2.6935500000000001</v>
      </c>
      <c r="M762" s="339">
        <v>12.8904</v>
      </c>
      <c r="N762" s="338"/>
      <c r="O762" s="338" t="s">
        <v>417</v>
      </c>
      <c r="P762" s="338"/>
    </row>
    <row r="763" spans="2:16" x14ac:dyDescent="0.25">
      <c r="B763" s="336" t="s">
        <v>416</v>
      </c>
      <c r="C763" s="337">
        <v>41218</v>
      </c>
      <c r="D763" s="338" t="s">
        <v>7437</v>
      </c>
      <c r="E763" s="338" t="s">
        <v>6054</v>
      </c>
      <c r="F763" s="338" t="s">
        <v>7436</v>
      </c>
      <c r="G763" s="338" t="s">
        <v>413</v>
      </c>
      <c r="H763" s="338" t="s">
        <v>425</v>
      </c>
      <c r="I763" s="338" t="s">
        <v>411</v>
      </c>
      <c r="J763" s="339"/>
      <c r="K763" s="339"/>
      <c r="L763" s="339"/>
      <c r="M763" s="339"/>
      <c r="N763" s="338"/>
      <c r="O763" s="338" t="s">
        <v>410</v>
      </c>
      <c r="P763" s="338" t="s">
        <v>417</v>
      </c>
    </row>
    <row r="764" spans="2:16" x14ac:dyDescent="0.25">
      <c r="B764" s="336" t="s">
        <v>416</v>
      </c>
      <c r="C764" s="337">
        <v>41215</v>
      </c>
      <c r="D764" s="338" t="s">
        <v>7435</v>
      </c>
      <c r="E764" s="338" t="s">
        <v>6054</v>
      </c>
      <c r="F764" s="338"/>
      <c r="G764" s="338" t="s">
        <v>413</v>
      </c>
      <c r="H764" s="338" t="s">
        <v>412</v>
      </c>
      <c r="I764" s="338" t="s">
        <v>411</v>
      </c>
      <c r="J764" s="339"/>
      <c r="K764" s="339"/>
      <c r="L764" s="339" t="s">
        <v>409</v>
      </c>
      <c r="M764" s="339" t="s">
        <v>409</v>
      </c>
      <c r="N764" s="338" t="s">
        <v>410</v>
      </c>
      <c r="O764" s="338" t="s">
        <v>409</v>
      </c>
      <c r="P764" s="338" t="s">
        <v>417</v>
      </c>
    </row>
    <row r="765" spans="2:16" x14ac:dyDescent="0.25">
      <c r="B765" s="336" t="s">
        <v>1441</v>
      </c>
      <c r="C765" s="337">
        <v>41215</v>
      </c>
      <c r="D765" s="338" t="s">
        <v>7434</v>
      </c>
      <c r="E765" s="338" t="s">
        <v>3313</v>
      </c>
      <c r="F765" s="338"/>
      <c r="G765" s="338" t="s">
        <v>413</v>
      </c>
      <c r="H765" s="338" t="s">
        <v>412</v>
      </c>
      <c r="I765" s="338" t="s">
        <v>1243</v>
      </c>
      <c r="J765" s="339"/>
      <c r="K765" s="339"/>
      <c r="L765" s="339" t="s">
        <v>409</v>
      </c>
      <c r="M765" s="339" t="s">
        <v>409</v>
      </c>
      <c r="N765" s="338" t="s">
        <v>417</v>
      </c>
      <c r="O765" s="338" t="s">
        <v>409</v>
      </c>
      <c r="P765" s="338" t="s">
        <v>443</v>
      </c>
    </row>
    <row r="766" spans="2:16" x14ac:dyDescent="0.25">
      <c r="B766" s="336" t="s">
        <v>416</v>
      </c>
      <c r="C766" s="337">
        <v>41215</v>
      </c>
      <c r="D766" s="338" t="s">
        <v>7433</v>
      </c>
      <c r="E766" s="338" t="s">
        <v>7432</v>
      </c>
      <c r="F766" s="338"/>
      <c r="G766" s="338" t="s">
        <v>413</v>
      </c>
      <c r="H766" s="338" t="s">
        <v>412</v>
      </c>
      <c r="I766" s="338" t="s">
        <v>411</v>
      </c>
      <c r="J766" s="339"/>
      <c r="K766" s="339"/>
      <c r="L766" s="339" t="s">
        <v>409</v>
      </c>
      <c r="M766" s="339" t="s">
        <v>409</v>
      </c>
      <c r="N766" s="338" t="s">
        <v>417</v>
      </c>
      <c r="O766" s="338" t="s">
        <v>409</v>
      </c>
      <c r="P766" s="338" t="s">
        <v>417</v>
      </c>
    </row>
    <row r="767" spans="2:16" x14ac:dyDescent="0.25">
      <c r="B767" s="336" t="s">
        <v>459</v>
      </c>
      <c r="C767" s="337">
        <v>41214</v>
      </c>
      <c r="D767" s="338" t="s">
        <v>7431</v>
      </c>
      <c r="E767" s="338" t="s">
        <v>669</v>
      </c>
      <c r="F767" s="338" t="s">
        <v>7430</v>
      </c>
      <c r="G767" s="338">
        <v>0.56000000000000005</v>
      </c>
      <c r="H767" s="338" t="s">
        <v>425</v>
      </c>
      <c r="I767" s="338" t="s">
        <v>1243</v>
      </c>
      <c r="J767" s="339"/>
      <c r="K767" s="339"/>
      <c r="L767" s="339"/>
      <c r="M767" s="339"/>
      <c r="N767" s="338" t="s">
        <v>417</v>
      </c>
      <c r="O767" s="338" t="s">
        <v>543</v>
      </c>
      <c r="P767" s="338"/>
    </row>
    <row r="768" spans="2:16" x14ac:dyDescent="0.25">
      <c r="B768" s="336" t="s">
        <v>416</v>
      </c>
      <c r="C768" s="337">
        <v>41214</v>
      </c>
      <c r="D768" s="338" t="s">
        <v>7429</v>
      </c>
      <c r="E768" s="338" t="s">
        <v>6053</v>
      </c>
      <c r="F768" s="338"/>
      <c r="G768" s="338">
        <v>72</v>
      </c>
      <c r="H768" s="338" t="s">
        <v>425</v>
      </c>
      <c r="I768" s="338" t="s">
        <v>411</v>
      </c>
      <c r="J768" s="339"/>
      <c r="K768" s="339"/>
      <c r="L768" s="339" t="s">
        <v>409</v>
      </c>
      <c r="M768" s="339" t="s">
        <v>409</v>
      </c>
      <c r="N768" s="338" t="s">
        <v>443</v>
      </c>
      <c r="O768" s="338" t="s">
        <v>409</v>
      </c>
      <c r="P768" s="338" t="s">
        <v>417</v>
      </c>
    </row>
    <row r="769" spans="2:16" x14ac:dyDescent="0.25">
      <c r="B769" s="336" t="s">
        <v>416</v>
      </c>
      <c r="C769" s="337">
        <v>41214</v>
      </c>
      <c r="D769" s="338" t="s">
        <v>7428</v>
      </c>
      <c r="E769" s="338" t="s">
        <v>7427</v>
      </c>
      <c r="F769" s="338" t="s">
        <v>1777</v>
      </c>
      <c r="G769" s="338" t="s">
        <v>413</v>
      </c>
      <c r="H769" s="338" t="s">
        <v>412</v>
      </c>
      <c r="I769" s="338" t="s">
        <v>411</v>
      </c>
      <c r="J769" s="339"/>
      <c r="K769" s="339"/>
      <c r="L769" s="339"/>
      <c r="M769" s="339"/>
      <c r="N769" s="338" t="s">
        <v>410</v>
      </c>
      <c r="O769" s="338" t="s">
        <v>417</v>
      </c>
      <c r="P769" s="338" t="s">
        <v>482</v>
      </c>
    </row>
    <row r="770" spans="2:16" x14ac:dyDescent="0.25">
      <c r="B770" s="336" t="s">
        <v>416</v>
      </c>
      <c r="C770" s="337">
        <v>41214</v>
      </c>
      <c r="D770" s="338" t="s">
        <v>7426</v>
      </c>
      <c r="E770" s="338" t="s">
        <v>2632</v>
      </c>
      <c r="F770" s="338" t="s">
        <v>7425</v>
      </c>
      <c r="G770" s="338" t="s">
        <v>413</v>
      </c>
      <c r="H770" s="338" t="s">
        <v>425</v>
      </c>
      <c r="I770" s="338" t="s">
        <v>411</v>
      </c>
      <c r="J770" s="339"/>
      <c r="K770" s="339"/>
      <c r="L770" s="339"/>
      <c r="M770" s="339"/>
      <c r="N770" s="338"/>
      <c r="O770" s="338" t="s">
        <v>410</v>
      </c>
      <c r="P770" s="338" t="s">
        <v>417</v>
      </c>
    </row>
    <row r="771" spans="2:16" x14ac:dyDescent="0.25">
      <c r="B771" s="336" t="s">
        <v>416</v>
      </c>
      <c r="C771" s="337">
        <v>41213</v>
      </c>
      <c r="D771" s="338" t="s">
        <v>7424</v>
      </c>
      <c r="E771" s="338" t="s">
        <v>7423</v>
      </c>
      <c r="F771" s="338"/>
      <c r="G771" s="338">
        <v>377</v>
      </c>
      <c r="H771" s="338" t="s">
        <v>425</v>
      </c>
      <c r="I771" s="338" t="s">
        <v>411</v>
      </c>
      <c r="J771" s="339"/>
      <c r="K771" s="339"/>
      <c r="L771" s="339" t="s">
        <v>409</v>
      </c>
      <c r="M771" s="339" t="s">
        <v>409</v>
      </c>
      <c r="N771" s="338" t="s">
        <v>417</v>
      </c>
      <c r="O771" s="338" t="s">
        <v>409</v>
      </c>
      <c r="P771" s="338" t="s">
        <v>417</v>
      </c>
    </row>
    <row r="772" spans="2:16" x14ac:dyDescent="0.25">
      <c r="B772" s="336" t="s">
        <v>416</v>
      </c>
      <c r="C772" s="337">
        <v>41213</v>
      </c>
      <c r="D772" s="338" t="s">
        <v>7422</v>
      </c>
      <c r="E772" s="338" t="s">
        <v>2688</v>
      </c>
      <c r="F772" s="338"/>
      <c r="G772" s="338">
        <v>2823.82</v>
      </c>
      <c r="H772" s="338" t="s">
        <v>429</v>
      </c>
      <c r="I772" s="338" t="s">
        <v>411</v>
      </c>
      <c r="J772" s="339">
        <v>0.866734</v>
      </c>
      <c r="K772" s="339">
        <v>8.3280100000000008</v>
      </c>
      <c r="L772" s="339" t="s">
        <v>409</v>
      </c>
      <c r="M772" s="339" t="s">
        <v>409</v>
      </c>
      <c r="N772" s="338" t="s">
        <v>417</v>
      </c>
      <c r="O772" s="338" t="s">
        <v>409</v>
      </c>
      <c r="P772" s="338" t="s">
        <v>417</v>
      </c>
    </row>
    <row r="773" spans="2:16" x14ac:dyDescent="0.25">
      <c r="B773" s="336" t="s">
        <v>459</v>
      </c>
      <c r="C773" s="337">
        <v>41213</v>
      </c>
      <c r="D773" s="338" t="s">
        <v>7421</v>
      </c>
      <c r="E773" s="338" t="s">
        <v>7420</v>
      </c>
      <c r="F773" s="338"/>
      <c r="G773" s="338">
        <v>1.5</v>
      </c>
      <c r="H773" s="338" t="s">
        <v>425</v>
      </c>
      <c r="I773" s="338" t="s">
        <v>411</v>
      </c>
      <c r="J773" s="339"/>
      <c r="K773" s="339"/>
      <c r="L773" s="339" t="s">
        <v>409</v>
      </c>
      <c r="M773" s="339" t="s">
        <v>409</v>
      </c>
      <c r="N773" s="338" t="s">
        <v>417</v>
      </c>
      <c r="O773" s="338" t="s">
        <v>409</v>
      </c>
      <c r="P773" s="338"/>
    </row>
    <row r="774" spans="2:16" x14ac:dyDescent="0.25">
      <c r="B774" s="336" t="s">
        <v>416</v>
      </c>
      <c r="C774" s="337">
        <v>41213</v>
      </c>
      <c r="D774" s="338" t="s">
        <v>7419</v>
      </c>
      <c r="E774" s="338" t="s">
        <v>1322</v>
      </c>
      <c r="F774" s="338"/>
      <c r="G774" s="338" t="s">
        <v>413</v>
      </c>
      <c r="H774" s="338" t="s">
        <v>412</v>
      </c>
      <c r="I774" s="338" t="s">
        <v>411</v>
      </c>
      <c r="J774" s="339"/>
      <c r="K774" s="339"/>
      <c r="L774" s="339" t="s">
        <v>409</v>
      </c>
      <c r="M774" s="339" t="s">
        <v>409</v>
      </c>
      <c r="N774" s="338" t="s">
        <v>417</v>
      </c>
      <c r="O774" s="338" t="s">
        <v>409</v>
      </c>
      <c r="P774" s="338" t="s">
        <v>417</v>
      </c>
    </row>
    <row r="775" spans="2:16" x14ac:dyDescent="0.25">
      <c r="B775" s="336" t="s">
        <v>416</v>
      </c>
      <c r="C775" s="337">
        <v>41212</v>
      </c>
      <c r="D775" s="338" t="s">
        <v>7418</v>
      </c>
      <c r="E775" s="338" t="s">
        <v>1604</v>
      </c>
      <c r="F775" s="338"/>
      <c r="G775" s="338" t="s">
        <v>413</v>
      </c>
      <c r="H775" s="338" t="s">
        <v>412</v>
      </c>
      <c r="I775" s="338" t="s">
        <v>411</v>
      </c>
      <c r="J775" s="339"/>
      <c r="K775" s="339"/>
      <c r="L775" s="339" t="s">
        <v>409</v>
      </c>
      <c r="M775" s="339" t="s">
        <v>409</v>
      </c>
      <c r="N775" s="338" t="s">
        <v>417</v>
      </c>
      <c r="O775" s="338" t="s">
        <v>409</v>
      </c>
      <c r="P775" s="338" t="s">
        <v>417</v>
      </c>
    </row>
    <row r="776" spans="2:16" x14ac:dyDescent="0.25">
      <c r="B776" s="336" t="s">
        <v>416</v>
      </c>
      <c r="C776" s="337">
        <v>41212</v>
      </c>
      <c r="D776" s="338" t="s">
        <v>7417</v>
      </c>
      <c r="E776" s="338" t="s">
        <v>573</v>
      </c>
      <c r="F776" s="338" t="s">
        <v>7416</v>
      </c>
      <c r="G776" s="338">
        <v>4050</v>
      </c>
      <c r="H776" s="338" t="s">
        <v>429</v>
      </c>
      <c r="I776" s="338" t="s">
        <v>411</v>
      </c>
      <c r="J776" s="339"/>
      <c r="K776" s="339"/>
      <c r="L776" s="339"/>
      <c r="M776" s="339"/>
      <c r="N776" s="338" t="s">
        <v>417</v>
      </c>
      <c r="O776" s="338" t="s">
        <v>432</v>
      </c>
      <c r="P776" s="338" t="s">
        <v>432</v>
      </c>
    </row>
    <row r="777" spans="2:16" x14ac:dyDescent="0.25">
      <c r="B777" s="336" t="s">
        <v>416</v>
      </c>
      <c r="C777" s="337">
        <v>41212</v>
      </c>
      <c r="D777" s="338" t="s">
        <v>7415</v>
      </c>
      <c r="E777" s="338" t="s">
        <v>7414</v>
      </c>
      <c r="F777" s="338"/>
      <c r="G777" s="338">
        <v>94.7</v>
      </c>
      <c r="H777" s="338" t="s">
        <v>425</v>
      </c>
      <c r="I777" s="338" t="s">
        <v>411</v>
      </c>
      <c r="J777" s="339"/>
      <c r="K777" s="339"/>
      <c r="L777" s="339" t="s">
        <v>409</v>
      </c>
      <c r="M777" s="339" t="s">
        <v>409</v>
      </c>
      <c r="N777" s="338"/>
      <c r="O777" s="338" t="s">
        <v>409</v>
      </c>
      <c r="P777" s="338"/>
    </row>
    <row r="778" spans="2:16" x14ac:dyDescent="0.25">
      <c r="B778" s="336" t="s">
        <v>416</v>
      </c>
      <c r="C778" s="337">
        <v>41211</v>
      </c>
      <c r="D778" s="338" t="s">
        <v>7413</v>
      </c>
      <c r="E778" s="338" t="s">
        <v>7005</v>
      </c>
      <c r="F778" s="338"/>
      <c r="G778" s="338" t="s">
        <v>413</v>
      </c>
      <c r="H778" s="338" t="s">
        <v>412</v>
      </c>
      <c r="I778" s="338" t="s">
        <v>411</v>
      </c>
      <c r="J778" s="339"/>
      <c r="K778" s="339"/>
      <c r="L778" s="339" t="s">
        <v>409</v>
      </c>
      <c r="M778" s="339" t="s">
        <v>409</v>
      </c>
      <c r="N778" s="338" t="s">
        <v>417</v>
      </c>
      <c r="O778" s="338" t="s">
        <v>409</v>
      </c>
      <c r="P778" s="338" t="s">
        <v>408</v>
      </c>
    </row>
    <row r="779" spans="2:16" x14ac:dyDescent="0.25">
      <c r="B779" s="336" t="s">
        <v>459</v>
      </c>
      <c r="C779" s="337">
        <v>41208</v>
      </c>
      <c r="D779" s="338" t="s">
        <v>7412</v>
      </c>
      <c r="E779" s="338" t="s">
        <v>7411</v>
      </c>
      <c r="F779" s="338"/>
      <c r="G779" s="338">
        <v>0.75</v>
      </c>
      <c r="H779" s="338" t="s">
        <v>425</v>
      </c>
      <c r="I779" s="338" t="s">
        <v>411</v>
      </c>
      <c r="J779" s="339"/>
      <c r="K779" s="339"/>
      <c r="L779" s="339" t="s">
        <v>409</v>
      </c>
      <c r="M779" s="339" t="s">
        <v>409</v>
      </c>
      <c r="N779" s="338" t="s">
        <v>432</v>
      </c>
      <c r="O779" s="338" t="s">
        <v>409</v>
      </c>
      <c r="P779" s="338"/>
    </row>
    <row r="780" spans="2:16" x14ac:dyDescent="0.25">
      <c r="B780" s="336" t="s">
        <v>416</v>
      </c>
      <c r="C780" s="337">
        <v>41208</v>
      </c>
      <c r="D780" s="338" t="s">
        <v>7410</v>
      </c>
      <c r="E780" s="338" t="s">
        <v>598</v>
      </c>
      <c r="F780" s="338"/>
      <c r="G780" s="338" t="s">
        <v>413</v>
      </c>
      <c r="H780" s="338" t="s">
        <v>412</v>
      </c>
      <c r="I780" s="338" t="s">
        <v>411</v>
      </c>
      <c r="J780" s="339"/>
      <c r="K780" s="339"/>
      <c r="L780" s="339" t="s">
        <v>409</v>
      </c>
      <c r="M780" s="339" t="s">
        <v>409</v>
      </c>
      <c r="N780" s="338" t="s">
        <v>417</v>
      </c>
      <c r="O780" s="338" t="s">
        <v>409</v>
      </c>
      <c r="P780" s="338" t="s">
        <v>417</v>
      </c>
    </row>
    <row r="781" spans="2:16" x14ac:dyDescent="0.25">
      <c r="B781" s="336" t="s">
        <v>416</v>
      </c>
      <c r="C781" s="337">
        <v>41207</v>
      </c>
      <c r="D781" s="338" t="s">
        <v>7409</v>
      </c>
      <c r="E781" s="338" t="s">
        <v>7408</v>
      </c>
      <c r="F781" s="338" t="s">
        <v>7407</v>
      </c>
      <c r="G781" s="338" t="s">
        <v>413</v>
      </c>
      <c r="H781" s="338" t="s">
        <v>418</v>
      </c>
      <c r="I781" s="338" t="s">
        <v>411</v>
      </c>
      <c r="J781" s="339"/>
      <c r="K781" s="339"/>
      <c r="L781" s="339"/>
      <c r="M781" s="339"/>
      <c r="N781" s="338"/>
      <c r="O781" s="338" t="s">
        <v>417</v>
      </c>
      <c r="P781" s="338" t="s">
        <v>410</v>
      </c>
    </row>
    <row r="782" spans="2:16" x14ac:dyDescent="0.25">
      <c r="B782" s="336" t="s">
        <v>416</v>
      </c>
      <c r="C782" s="337">
        <v>41207</v>
      </c>
      <c r="D782" s="338" t="s">
        <v>7406</v>
      </c>
      <c r="E782" s="338" t="s">
        <v>7356</v>
      </c>
      <c r="F782" s="338"/>
      <c r="G782" s="338" t="s">
        <v>413</v>
      </c>
      <c r="H782" s="338" t="s">
        <v>412</v>
      </c>
      <c r="I782" s="338" t="s">
        <v>411</v>
      </c>
      <c r="J782" s="339"/>
      <c r="K782" s="339"/>
      <c r="L782" s="339" t="s">
        <v>409</v>
      </c>
      <c r="M782" s="339" t="s">
        <v>409</v>
      </c>
      <c r="N782" s="338" t="s">
        <v>432</v>
      </c>
      <c r="O782" s="338" t="s">
        <v>409</v>
      </c>
      <c r="P782" s="338" t="s">
        <v>410</v>
      </c>
    </row>
    <row r="783" spans="2:16" x14ac:dyDescent="0.25">
      <c r="B783" s="336" t="s">
        <v>416</v>
      </c>
      <c r="C783" s="337">
        <v>41207</v>
      </c>
      <c r="D783" s="338" t="s">
        <v>7405</v>
      </c>
      <c r="E783" s="338" t="s">
        <v>805</v>
      </c>
      <c r="F783" s="338"/>
      <c r="G783" s="338" t="s">
        <v>413</v>
      </c>
      <c r="H783" s="338" t="s">
        <v>425</v>
      </c>
      <c r="I783" s="338" t="s">
        <v>411</v>
      </c>
      <c r="J783" s="339"/>
      <c r="K783" s="339"/>
      <c r="L783" s="339" t="s">
        <v>409</v>
      </c>
      <c r="M783" s="339" t="s">
        <v>409</v>
      </c>
      <c r="N783" s="338"/>
      <c r="O783" s="338" t="s">
        <v>409</v>
      </c>
      <c r="P783" s="338" t="s">
        <v>417</v>
      </c>
    </row>
    <row r="784" spans="2:16" x14ac:dyDescent="0.25">
      <c r="B784" s="336" t="s">
        <v>416</v>
      </c>
      <c r="C784" s="337">
        <v>41207</v>
      </c>
      <c r="D784" s="338" t="s">
        <v>7404</v>
      </c>
      <c r="E784" s="338" t="s">
        <v>6063</v>
      </c>
      <c r="F784" s="338"/>
      <c r="G784" s="338" t="s">
        <v>413</v>
      </c>
      <c r="H784" s="338" t="s">
        <v>336</v>
      </c>
      <c r="I784" s="338" t="s">
        <v>411</v>
      </c>
      <c r="J784" s="339"/>
      <c r="K784" s="339"/>
      <c r="L784" s="339" t="s">
        <v>409</v>
      </c>
      <c r="M784" s="339" t="s">
        <v>409</v>
      </c>
      <c r="N784" s="338"/>
      <c r="O784" s="338" t="s">
        <v>409</v>
      </c>
      <c r="P784" s="338" t="s">
        <v>417</v>
      </c>
    </row>
    <row r="785" spans="2:16" x14ac:dyDescent="0.25">
      <c r="B785" s="336" t="s">
        <v>416</v>
      </c>
      <c r="C785" s="337">
        <v>41206</v>
      </c>
      <c r="D785" s="338" t="s">
        <v>7403</v>
      </c>
      <c r="E785" s="338" t="s">
        <v>7402</v>
      </c>
      <c r="F785" s="338"/>
      <c r="G785" s="338" t="s">
        <v>413</v>
      </c>
      <c r="H785" s="338" t="s">
        <v>412</v>
      </c>
      <c r="I785" s="338" t="s">
        <v>411</v>
      </c>
      <c r="J785" s="339"/>
      <c r="K785" s="339"/>
      <c r="L785" s="339" t="s">
        <v>409</v>
      </c>
      <c r="M785" s="339" t="s">
        <v>409</v>
      </c>
      <c r="N785" s="338" t="s">
        <v>417</v>
      </c>
      <c r="O785" s="338" t="s">
        <v>409</v>
      </c>
      <c r="P785" s="338" t="s">
        <v>443</v>
      </c>
    </row>
    <row r="786" spans="2:16" x14ac:dyDescent="0.25">
      <c r="B786" s="336" t="s">
        <v>416</v>
      </c>
      <c r="C786" s="337">
        <v>41206</v>
      </c>
      <c r="D786" s="338" t="s">
        <v>7401</v>
      </c>
      <c r="E786" s="338" t="s">
        <v>1217</v>
      </c>
      <c r="F786" s="338" t="s">
        <v>7400</v>
      </c>
      <c r="G786" s="338" t="s">
        <v>413</v>
      </c>
      <c r="H786" s="338" t="s">
        <v>425</v>
      </c>
      <c r="I786" s="338" t="s">
        <v>411</v>
      </c>
      <c r="J786" s="339"/>
      <c r="K786" s="339"/>
      <c r="L786" s="339"/>
      <c r="M786" s="339"/>
      <c r="N786" s="338"/>
      <c r="O786" s="338" t="s">
        <v>417</v>
      </c>
      <c r="P786" s="338" t="s">
        <v>410</v>
      </c>
    </row>
    <row r="787" spans="2:16" x14ac:dyDescent="0.25">
      <c r="B787" s="336" t="s">
        <v>416</v>
      </c>
      <c r="C787" s="337">
        <v>41206</v>
      </c>
      <c r="D787" s="338" t="s">
        <v>7399</v>
      </c>
      <c r="E787" s="338" t="s">
        <v>7398</v>
      </c>
      <c r="F787" s="338" t="s">
        <v>7397</v>
      </c>
      <c r="G787" s="338">
        <v>57</v>
      </c>
      <c r="H787" s="338" t="s">
        <v>425</v>
      </c>
      <c r="I787" s="338" t="s">
        <v>411</v>
      </c>
      <c r="J787" s="339"/>
      <c r="K787" s="339"/>
      <c r="L787" s="339"/>
      <c r="M787" s="339"/>
      <c r="N787" s="338" t="s">
        <v>417</v>
      </c>
      <c r="O787" s="338" t="s">
        <v>443</v>
      </c>
      <c r="P787" s="338" t="s">
        <v>417</v>
      </c>
    </row>
    <row r="788" spans="2:16" x14ac:dyDescent="0.25">
      <c r="B788" s="336" t="s">
        <v>416</v>
      </c>
      <c r="C788" s="337">
        <v>41205</v>
      </c>
      <c r="D788" s="338" t="s">
        <v>7396</v>
      </c>
      <c r="E788" s="338" t="s">
        <v>7395</v>
      </c>
      <c r="F788" s="338"/>
      <c r="G788" s="338" t="s">
        <v>413</v>
      </c>
      <c r="H788" s="338" t="s">
        <v>412</v>
      </c>
      <c r="I788" s="338" t="s">
        <v>411</v>
      </c>
      <c r="J788" s="339"/>
      <c r="K788" s="339"/>
      <c r="L788" s="339" t="s">
        <v>409</v>
      </c>
      <c r="M788" s="339" t="s">
        <v>409</v>
      </c>
      <c r="N788" s="338" t="s">
        <v>410</v>
      </c>
      <c r="O788" s="338" t="s">
        <v>409</v>
      </c>
      <c r="P788" s="338" t="s">
        <v>417</v>
      </c>
    </row>
    <row r="789" spans="2:16" x14ac:dyDescent="0.25">
      <c r="B789" s="336" t="s">
        <v>459</v>
      </c>
      <c r="C789" s="337">
        <v>41205</v>
      </c>
      <c r="D789" s="338" t="s">
        <v>7394</v>
      </c>
      <c r="E789" s="338" t="s">
        <v>625</v>
      </c>
      <c r="F789" s="338"/>
      <c r="G789" s="338" t="s">
        <v>413</v>
      </c>
      <c r="H789" s="338" t="s">
        <v>425</v>
      </c>
      <c r="I789" s="338" t="s">
        <v>411</v>
      </c>
      <c r="J789" s="339"/>
      <c r="K789" s="339"/>
      <c r="L789" s="339" t="s">
        <v>409</v>
      </c>
      <c r="M789" s="339" t="s">
        <v>409</v>
      </c>
      <c r="N789" s="338" t="s">
        <v>417</v>
      </c>
      <c r="O789" s="338" t="s">
        <v>409</v>
      </c>
      <c r="P789" s="338" t="s">
        <v>443</v>
      </c>
    </row>
    <row r="790" spans="2:16" x14ac:dyDescent="0.25">
      <c r="B790" s="336" t="s">
        <v>416</v>
      </c>
      <c r="C790" s="337">
        <v>41205</v>
      </c>
      <c r="D790" s="338" t="s">
        <v>7393</v>
      </c>
      <c r="E790" s="338" t="s">
        <v>7392</v>
      </c>
      <c r="F790" s="338" t="s">
        <v>2444</v>
      </c>
      <c r="G790" s="338" t="s">
        <v>413</v>
      </c>
      <c r="H790" s="338" t="s">
        <v>425</v>
      </c>
      <c r="I790" s="338" t="s">
        <v>411</v>
      </c>
      <c r="J790" s="339"/>
      <c r="K790" s="339"/>
      <c r="L790" s="339">
        <v>0.67408000000000001</v>
      </c>
      <c r="M790" s="339">
        <v>8.07395</v>
      </c>
      <c r="N790" s="338"/>
      <c r="O790" s="338" t="s">
        <v>417</v>
      </c>
      <c r="P790" s="338" t="s">
        <v>443</v>
      </c>
    </row>
    <row r="791" spans="2:16" x14ac:dyDescent="0.25">
      <c r="B791" s="336" t="s">
        <v>416</v>
      </c>
      <c r="C791" s="337">
        <v>41204</v>
      </c>
      <c r="D791" s="338" t="s">
        <v>7391</v>
      </c>
      <c r="E791" s="338" t="s">
        <v>2218</v>
      </c>
      <c r="F791" s="338" t="s">
        <v>7390</v>
      </c>
      <c r="G791" s="338">
        <v>751</v>
      </c>
      <c r="H791" s="338" t="s">
        <v>425</v>
      </c>
      <c r="I791" s="338" t="s">
        <v>411</v>
      </c>
      <c r="J791" s="339"/>
      <c r="K791" s="339"/>
      <c r="L791" s="339">
        <v>12.1516</v>
      </c>
      <c r="M791" s="339">
        <v>18.871400000000001</v>
      </c>
      <c r="N791" s="338"/>
      <c r="O791" s="338" t="s">
        <v>443</v>
      </c>
      <c r="P791" s="338" t="s">
        <v>443</v>
      </c>
    </row>
    <row r="792" spans="2:16" x14ac:dyDescent="0.25">
      <c r="B792" s="336" t="s">
        <v>416</v>
      </c>
      <c r="C792" s="337">
        <v>41204</v>
      </c>
      <c r="D792" s="338" t="s">
        <v>7389</v>
      </c>
      <c r="E792" s="338" t="s">
        <v>477</v>
      </c>
      <c r="F792" s="338"/>
      <c r="G792" s="338" t="s">
        <v>413</v>
      </c>
      <c r="H792" s="338" t="s">
        <v>425</v>
      </c>
      <c r="I792" s="338" t="s">
        <v>411</v>
      </c>
      <c r="J792" s="339"/>
      <c r="K792" s="339"/>
      <c r="L792" s="339" t="s">
        <v>409</v>
      </c>
      <c r="M792" s="339" t="s">
        <v>409</v>
      </c>
      <c r="N792" s="338"/>
      <c r="O792" s="338" t="s">
        <v>409</v>
      </c>
      <c r="P792" s="338" t="s">
        <v>417</v>
      </c>
    </row>
    <row r="793" spans="2:16" x14ac:dyDescent="0.25">
      <c r="B793" s="336" t="s">
        <v>416</v>
      </c>
      <c r="C793" s="337">
        <v>41204</v>
      </c>
      <c r="D793" s="338" t="s">
        <v>7388</v>
      </c>
      <c r="E793" s="338" t="s">
        <v>2218</v>
      </c>
      <c r="F793" s="338" t="s">
        <v>2247</v>
      </c>
      <c r="G793" s="338">
        <v>500</v>
      </c>
      <c r="H793" s="338" t="s">
        <v>425</v>
      </c>
      <c r="I793" s="338" t="s">
        <v>411</v>
      </c>
      <c r="J793" s="339"/>
      <c r="K793" s="339"/>
      <c r="L793" s="339">
        <v>10.5425</v>
      </c>
      <c r="M793" s="339">
        <v>19.802600000000002</v>
      </c>
      <c r="N793" s="338"/>
      <c r="O793" s="338" t="s">
        <v>443</v>
      </c>
      <c r="P793" s="338" t="s">
        <v>443</v>
      </c>
    </row>
    <row r="794" spans="2:16" x14ac:dyDescent="0.25">
      <c r="B794" s="336" t="s">
        <v>416</v>
      </c>
      <c r="C794" s="337">
        <v>41200</v>
      </c>
      <c r="D794" s="338" t="s">
        <v>1566</v>
      </c>
      <c r="E794" s="338" t="s">
        <v>468</v>
      </c>
      <c r="F794" s="338"/>
      <c r="G794" s="338" t="s">
        <v>413</v>
      </c>
      <c r="H794" s="338" t="s">
        <v>425</v>
      </c>
      <c r="I794" s="338" t="s">
        <v>411</v>
      </c>
      <c r="J794" s="339"/>
      <c r="K794" s="339"/>
      <c r="L794" s="339" t="s">
        <v>409</v>
      </c>
      <c r="M794" s="339" t="s">
        <v>409</v>
      </c>
      <c r="N794" s="338" t="s">
        <v>417</v>
      </c>
      <c r="O794" s="338" t="s">
        <v>409</v>
      </c>
      <c r="P794" s="338" t="s">
        <v>443</v>
      </c>
    </row>
    <row r="795" spans="2:16" x14ac:dyDescent="0.25">
      <c r="B795" s="336" t="s">
        <v>416</v>
      </c>
      <c r="C795" s="337">
        <v>41198</v>
      </c>
      <c r="D795" s="338" t="s">
        <v>7387</v>
      </c>
      <c r="E795" s="338" t="s">
        <v>7386</v>
      </c>
      <c r="F795" s="338"/>
      <c r="G795" s="338" t="s">
        <v>413</v>
      </c>
      <c r="H795" s="338" t="s">
        <v>412</v>
      </c>
      <c r="I795" s="338" t="s">
        <v>411</v>
      </c>
      <c r="J795" s="339"/>
      <c r="K795" s="339"/>
      <c r="L795" s="339" t="s">
        <v>409</v>
      </c>
      <c r="M795" s="339" t="s">
        <v>409</v>
      </c>
      <c r="N795" s="338" t="s">
        <v>417</v>
      </c>
      <c r="O795" s="338" t="s">
        <v>409</v>
      </c>
      <c r="P795" s="338" t="s">
        <v>487</v>
      </c>
    </row>
    <row r="796" spans="2:16" x14ac:dyDescent="0.25">
      <c r="B796" s="336" t="s">
        <v>416</v>
      </c>
      <c r="C796" s="337">
        <v>41198</v>
      </c>
      <c r="D796" s="338" t="s">
        <v>7385</v>
      </c>
      <c r="E796" s="338" t="s">
        <v>452</v>
      </c>
      <c r="F796" s="338"/>
      <c r="G796" s="338">
        <v>13.8</v>
      </c>
      <c r="H796" s="338" t="s">
        <v>425</v>
      </c>
      <c r="I796" s="338" t="s">
        <v>411</v>
      </c>
      <c r="J796" s="339"/>
      <c r="K796" s="339"/>
      <c r="L796" s="339" t="s">
        <v>409</v>
      </c>
      <c r="M796" s="339" t="s">
        <v>409</v>
      </c>
      <c r="N796" s="338"/>
      <c r="O796" s="338" t="s">
        <v>409</v>
      </c>
      <c r="P796" s="338" t="s">
        <v>417</v>
      </c>
    </row>
    <row r="797" spans="2:16" x14ac:dyDescent="0.25">
      <c r="B797" s="336" t="s">
        <v>459</v>
      </c>
      <c r="C797" s="337">
        <v>41197</v>
      </c>
      <c r="D797" s="338" t="s">
        <v>7384</v>
      </c>
      <c r="E797" s="338" t="s">
        <v>7383</v>
      </c>
      <c r="F797" s="338"/>
      <c r="G797" s="338">
        <v>20</v>
      </c>
      <c r="H797" s="338" t="s">
        <v>425</v>
      </c>
      <c r="I797" s="338" t="s">
        <v>411</v>
      </c>
      <c r="J797" s="339"/>
      <c r="K797" s="339"/>
      <c r="L797" s="339" t="s">
        <v>409</v>
      </c>
      <c r="M797" s="339" t="s">
        <v>409</v>
      </c>
      <c r="N797" s="338" t="s">
        <v>417</v>
      </c>
      <c r="O797" s="338" t="s">
        <v>409</v>
      </c>
      <c r="P797" s="338"/>
    </row>
    <row r="798" spans="2:16" x14ac:dyDescent="0.25">
      <c r="B798" s="336" t="s">
        <v>459</v>
      </c>
      <c r="C798" s="337">
        <v>41194</v>
      </c>
      <c r="D798" s="338" t="s">
        <v>7382</v>
      </c>
      <c r="E798" s="338" t="s">
        <v>7381</v>
      </c>
      <c r="F798" s="338"/>
      <c r="G798" s="338" t="s">
        <v>413</v>
      </c>
      <c r="H798" s="338" t="s">
        <v>425</v>
      </c>
      <c r="I798" s="338" t="s">
        <v>411</v>
      </c>
      <c r="J798" s="339"/>
      <c r="K798" s="339"/>
      <c r="L798" s="339" t="s">
        <v>409</v>
      </c>
      <c r="M798" s="339" t="s">
        <v>409</v>
      </c>
      <c r="N798" s="338" t="s">
        <v>605</v>
      </c>
      <c r="O798" s="338" t="s">
        <v>409</v>
      </c>
      <c r="P798" s="338"/>
    </row>
    <row r="799" spans="2:16" x14ac:dyDescent="0.25">
      <c r="B799" s="336" t="s">
        <v>416</v>
      </c>
      <c r="C799" s="337">
        <v>41194</v>
      </c>
      <c r="D799" s="338" t="s">
        <v>7380</v>
      </c>
      <c r="E799" s="338" t="s">
        <v>1529</v>
      </c>
      <c r="F799" s="338" t="s">
        <v>6384</v>
      </c>
      <c r="G799" s="338" t="s">
        <v>413</v>
      </c>
      <c r="H799" s="338" t="s">
        <v>425</v>
      </c>
      <c r="I799" s="338" t="s">
        <v>411</v>
      </c>
      <c r="J799" s="339"/>
      <c r="K799" s="339"/>
      <c r="L799" s="339">
        <v>0.35343999999999998</v>
      </c>
      <c r="M799" s="339"/>
      <c r="N799" s="338"/>
      <c r="O799" s="338" t="s">
        <v>408</v>
      </c>
      <c r="P799" s="338" t="s">
        <v>410</v>
      </c>
    </row>
    <row r="800" spans="2:16" x14ac:dyDescent="0.25">
      <c r="B800" s="336" t="s">
        <v>459</v>
      </c>
      <c r="C800" s="337">
        <v>41193</v>
      </c>
      <c r="D800" s="338" t="s">
        <v>7379</v>
      </c>
      <c r="E800" s="338" t="s">
        <v>7378</v>
      </c>
      <c r="F800" s="338"/>
      <c r="G800" s="338">
        <v>1</v>
      </c>
      <c r="H800" s="338" t="s">
        <v>425</v>
      </c>
      <c r="I800" s="338" t="s">
        <v>411</v>
      </c>
      <c r="J800" s="339"/>
      <c r="K800" s="339"/>
      <c r="L800" s="339" t="s">
        <v>409</v>
      </c>
      <c r="M800" s="339" t="s">
        <v>409</v>
      </c>
      <c r="N800" s="338" t="s">
        <v>605</v>
      </c>
      <c r="O800" s="338" t="s">
        <v>409</v>
      </c>
      <c r="P800" s="338"/>
    </row>
    <row r="801" spans="2:16" x14ac:dyDescent="0.25">
      <c r="B801" s="336" t="s">
        <v>416</v>
      </c>
      <c r="C801" s="337">
        <v>41193</v>
      </c>
      <c r="D801" s="338" t="s">
        <v>3092</v>
      </c>
      <c r="E801" s="338" t="s">
        <v>677</v>
      </c>
      <c r="F801" s="338" t="s">
        <v>1708</v>
      </c>
      <c r="G801" s="338">
        <v>975</v>
      </c>
      <c r="H801" s="338" t="s">
        <v>425</v>
      </c>
      <c r="I801" s="338" t="s">
        <v>411</v>
      </c>
      <c r="J801" s="339">
        <v>0.36386499999999999</v>
      </c>
      <c r="K801" s="339">
        <v>10.745799999999999</v>
      </c>
      <c r="L801" s="339">
        <v>4.6013799999999998</v>
      </c>
      <c r="M801" s="339">
        <v>8.13809</v>
      </c>
      <c r="N801" s="338" t="s">
        <v>417</v>
      </c>
      <c r="O801" s="338" t="s">
        <v>443</v>
      </c>
      <c r="P801" s="338" t="s">
        <v>443</v>
      </c>
    </row>
    <row r="802" spans="2:16" x14ac:dyDescent="0.25">
      <c r="B802" s="336" t="s">
        <v>459</v>
      </c>
      <c r="C802" s="337">
        <v>41193</v>
      </c>
      <c r="D802" s="338" t="s">
        <v>7377</v>
      </c>
      <c r="E802" s="338" t="s">
        <v>4438</v>
      </c>
      <c r="F802" s="338"/>
      <c r="G802" s="338">
        <v>15</v>
      </c>
      <c r="H802" s="338" t="s">
        <v>425</v>
      </c>
      <c r="I802" s="338" t="s">
        <v>411</v>
      </c>
      <c r="J802" s="339"/>
      <c r="K802" s="339"/>
      <c r="L802" s="339" t="s">
        <v>409</v>
      </c>
      <c r="M802" s="339" t="s">
        <v>409</v>
      </c>
      <c r="N802" s="338" t="s">
        <v>417</v>
      </c>
      <c r="O802" s="338" t="s">
        <v>409</v>
      </c>
      <c r="P802" s="338" t="s">
        <v>443</v>
      </c>
    </row>
    <row r="803" spans="2:16" x14ac:dyDescent="0.25">
      <c r="B803" s="336" t="s">
        <v>416</v>
      </c>
      <c r="C803" s="337">
        <v>41192</v>
      </c>
      <c r="D803" s="338" t="s">
        <v>7376</v>
      </c>
      <c r="E803" s="338" t="s">
        <v>7375</v>
      </c>
      <c r="F803" s="338"/>
      <c r="G803" s="338" t="s">
        <v>413</v>
      </c>
      <c r="H803" s="338" t="s">
        <v>412</v>
      </c>
      <c r="I803" s="338" t="s">
        <v>411</v>
      </c>
      <c r="J803" s="339"/>
      <c r="K803" s="339"/>
      <c r="L803" s="339" t="s">
        <v>409</v>
      </c>
      <c r="M803" s="339" t="s">
        <v>409</v>
      </c>
      <c r="N803" s="338" t="s">
        <v>417</v>
      </c>
      <c r="O803" s="338" t="s">
        <v>409</v>
      </c>
      <c r="P803" s="338" t="s">
        <v>417</v>
      </c>
    </row>
    <row r="804" spans="2:16" x14ac:dyDescent="0.25">
      <c r="B804" s="336" t="s">
        <v>416</v>
      </c>
      <c r="C804" s="337">
        <v>41192</v>
      </c>
      <c r="D804" s="338" t="s">
        <v>7374</v>
      </c>
      <c r="E804" s="338" t="s">
        <v>450</v>
      </c>
      <c r="F804" s="338"/>
      <c r="G804" s="338">
        <v>72</v>
      </c>
      <c r="H804" s="338" t="s">
        <v>425</v>
      </c>
      <c r="I804" s="338" t="s">
        <v>411</v>
      </c>
      <c r="J804" s="339"/>
      <c r="K804" s="339"/>
      <c r="L804" s="339" t="s">
        <v>409</v>
      </c>
      <c r="M804" s="339" t="s">
        <v>409</v>
      </c>
      <c r="N804" s="338"/>
      <c r="O804" s="338" t="s">
        <v>409</v>
      </c>
      <c r="P804" s="338" t="s">
        <v>417</v>
      </c>
    </row>
    <row r="805" spans="2:16" x14ac:dyDescent="0.25">
      <c r="B805" s="336" t="s">
        <v>416</v>
      </c>
      <c r="C805" s="337">
        <v>41191</v>
      </c>
      <c r="D805" s="338" t="s">
        <v>7373</v>
      </c>
      <c r="E805" s="338" t="s">
        <v>3536</v>
      </c>
      <c r="F805" s="338"/>
      <c r="G805" s="338" t="s">
        <v>413</v>
      </c>
      <c r="H805" s="338" t="s">
        <v>412</v>
      </c>
      <c r="I805" s="338" t="s">
        <v>411</v>
      </c>
      <c r="J805" s="339"/>
      <c r="K805" s="339"/>
      <c r="L805" s="339" t="s">
        <v>409</v>
      </c>
      <c r="M805" s="339" t="s">
        <v>409</v>
      </c>
      <c r="N805" s="338" t="s">
        <v>417</v>
      </c>
      <c r="O805" s="338" t="s">
        <v>409</v>
      </c>
      <c r="P805" s="338" t="s">
        <v>417</v>
      </c>
    </row>
    <row r="806" spans="2:16" x14ac:dyDescent="0.25">
      <c r="B806" s="336" t="s">
        <v>416</v>
      </c>
      <c r="C806" s="337">
        <v>41191</v>
      </c>
      <c r="D806" s="338" t="s">
        <v>7372</v>
      </c>
      <c r="E806" s="338" t="s">
        <v>905</v>
      </c>
      <c r="F806" s="338"/>
      <c r="G806" s="338" t="s">
        <v>413</v>
      </c>
      <c r="H806" s="338" t="s">
        <v>425</v>
      </c>
      <c r="I806" s="338" t="s">
        <v>411</v>
      </c>
      <c r="J806" s="339"/>
      <c r="K806" s="339"/>
      <c r="L806" s="339" t="s">
        <v>409</v>
      </c>
      <c r="M806" s="339" t="s">
        <v>409</v>
      </c>
      <c r="N806" s="338"/>
      <c r="O806" s="338" t="s">
        <v>409</v>
      </c>
      <c r="P806" s="338" t="s">
        <v>417</v>
      </c>
    </row>
    <row r="807" spans="2:16" x14ac:dyDescent="0.25">
      <c r="B807" s="336" t="s">
        <v>416</v>
      </c>
      <c r="C807" s="337">
        <v>41190</v>
      </c>
      <c r="D807" s="338" t="s">
        <v>7371</v>
      </c>
      <c r="E807" s="338" t="s">
        <v>7370</v>
      </c>
      <c r="F807" s="338"/>
      <c r="G807" s="338" t="s">
        <v>413</v>
      </c>
      <c r="H807" s="338" t="s">
        <v>336</v>
      </c>
      <c r="I807" s="338" t="s">
        <v>411</v>
      </c>
      <c r="J807" s="339">
        <v>0.25296999999999997</v>
      </c>
      <c r="K807" s="339"/>
      <c r="L807" s="339" t="s">
        <v>409</v>
      </c>
      <c r="M807" s="339" t="s">
        <v>409</v>
      </c>
      <c r="N807" s="338" t="s">
        <v>417</v>
      </c>
      <c r="O807" s="338" t="s">
        <v>409</v>
      </c>
      <c r="P807" s="338" t="s">
        <v>417</v>
      </c>
    </row>
    <row r="808" spans="2:16" x14ac:dyDescent="0.25">
      <c r="B808" s="336" t="s">
        <v>416</v>
      </c>
      <c r="C808" s="337">
        <v>41187</v>
      </c>
      <c r="D808" s="338" t="s">
        <v>7369</v>
      </c>
      <c r="E808" s="338" t="s">
        <v>7368</v>
      </c>
      <c r="F808" s="338"/>
      <c r="G808" s="338" t="s">
        <v>413</v>
      </c>
      <c r="H808" s="338" t="s">
        <v>412</v>
      </c>
      <c r="I808" s="338" t="s">
        <v>411</v>
      </c>
      <c r="J808" s="339"/>
      <c r="K808" s="339"/>
      <c r="L808" s="339" t="s">
        <v>409</v>
      </c>
      <c r="M808" s="339" t="s">
        <v>409</v>
      </c>
      <c r="N808" s="338" t="s">
        <v>417</v>
      </c>
      <c r="O808" s="338" t="s">
        <v>409</v>
      </c>
      <c r="P808" s="338" t="s">
        <v>417</v>
      </c>
    </row>
    <row r="809" spans="2:16" x14ac:dyDescent="0.25">
      <c r="B809" s="336" t="s">
        <v>416</v>
      </c>
      <c r="C809" s="337">
        <v>41187</v>
      </c>
      <c r="D809" s="338" t="s">
        <v>7367</v>
      </c>
      <c r="E809" s="338" t="s">
        <v>436</v>
      </c>
      <c r="F809" s="338"/>
      <c r="G809" s="338">
        <v>141</v>
      </c>
      <c r="H809" s="338" t="s">
        <v>425</v>
      </c>
      <c r="I809" s="338" t="s">
        <v>411</v>
      </c>
      <c r="J809" s="339"/>
      <c r="K809" s="339"/>
      <c r="L809" s="339" t="s">
        <v>409</v>
      </c>
      <c r="M809" s="339" t="s">
        <v>409</v>
      </c>
      <c r="N809" s="338"/>
      <c r="O809" s="338" t="s">
        <v>409</v>
      </c>
      <c r="P809" s="338" t="s">
        <v>417</v>
      </c>
    </row>
    <row r="810" spans="2:16" x14ac:dyDescent="0.25">
      <c r="B810" s="336" t="s">
        <v>416</v>
      </c>
      <c r="C810" s="337">
        <v>41187</v>
      </c>
      <c r="D810" s="338" t="s">
        <v>7366</v>
      </c>
      <c r="E810" s="338" t="s">
        <v>7365</v>
      </c>
      <c r="F810" s="338"/>
      <c r="G810" s="338" t="s">
        <v>413</v>
      </c>
      <c r="H810" s="338" t="s">
        <v>412</v>
      </c>
      <c r="I810" s="338" t="s">
        <v>411</v>
      </c>
      <c r="J810" s="339"/>
      <c r="K810" s="339"/>
      <c r="L810" s="339" t="s">
        <v>409</v>
      </c>
      <c r="M810" s="339" t="s">
        <v>409</v>
      </c>
      <c r="N810" s="338" t="s">
        <v>487</v>
      </c>
      <c r="O810" s="338" t="s">
        <v>409</v>
      </c>
      <c r="P810" s="338" t="s">
        <v>417</v>
      </c>
    </row>
    <row r="811" spans="2:16" x14ac:dyDescent="0.25">
      <c r="B811" s="336" t="s">
        <v>416</v>
      </c>
      <c r="C811" s="337">
        <v>41186</v>
      </c>
      <c r="D811" s="338" t="s">
        <v>7364</v>
      </c>
      <c r="E811" s="338" t="s">
        <v>5058</v>
      </c>
      <c r="F811" s="338"/>
      <c r="G811" s="338" t="s">
        <v>413</v>
      </c>
      <c r="H811" s="338" t="s">
        <v>412</v>
      </c>
      <c r="I811" s="338" t="s">
        <v>411</v>
      </c>
      <c r="J811" s="339"/>
      <c r="K811" s="339"/>
      <c r="L811" s="339" t="s">
        <v>409</v>
      </c>
      <c r="M811" s="339" t="s">
        <v>409</v>
      </c>
      <c r="N811" s="338" t="s">
        <v>408</v>
      </c>
      <c r="O811" s="338" t="s">
        <v>409</v>
      </c>
      <c r="P811" s="338" t="s">
        <v>417</v>
      </c>
    </row>
    <row r="812" spans="2:16" x14ac:dyDescent="0.25">
      <c r="B812" s="336" t="s">
        <v>459</v>
      </c>
      <c r="C812" s="337">
        <v>41186</v>
      </c>
      <c r="D812" s="338" t="s">
        <v>7363</v>
      </c>
      <c r="E812" s="338" t="s">
        <v>5627</v>
      </c>
      <c r="F812" s="338" t="s">
        <v>538</v>
      </c>
      <c r="G812" s="338">
        <v>300</v>
      </c>
      <c r="H812" s="338" t="s">
        <v>425</v>
      </c>
      <c r="I812" s="338" t="s">
        <v>411</v>
      </c>
      <c r="J812" s="339"/>
      <c r="K812" s="339"/>
      <c r="L812" s="339">
        <v>0.21088399999999999</v>
      </c>
      <c r="M812" s="339">
        <v>238.93199999999999</v>
      </c>
      <c r="N812" s="338" t="s">
        <v>432</v>
      </c>
      <c r="O812" s="338" t="s">
        <v>417</v>
      </c>
      <c r="P812" s="338" t="s">
        <v>605</v>
      </c>
    </row>
    <row r="813" spans="2:16" x14ac:dyDescent="0.25">
      <c r="B813" s="336" t="s">
        <v>416</v>
      </c>
      <c r="C813" s="337">
        <v>41185</v>
      </c>
      <c r="D813" s="338" t="s">
        <v>7362</v>
      </c>
      <c r="E813" s="338" t="s">
        <v>7361</v>
      </c>
      <c r="F813" s="338"/>
      <c r="G813" s="338" t="s">
        <v>413</v>
      </c>
      <c r="H813" s="338" t="s">
        <v>425</v>
      </c>
      <c r="I813" s="338" t="s">
        <v>411</v>
      </c>
      <c r="J813" s="339"/>
      <c r="K813" s="339"/>
      <c r="L813" s="339" t="s">
        <v>409</v>
      </c>
      <c r="M813" s="339" t="s">
        <v>409</v>
      </c>
      <c r="N813" s="338"/>
      <c r="O813" s="338" t="s">
        <v>409</v>
      </c>
      <c r="P813" s="338" t="s">
        <v>443</v>
      </c>
    </row>
    <row r="814" spans="2:16" x14ac:dyDescent="0.25">
      <c r="B814" s="336" t="s">
        <v>416</v>
      </c>
      <c r="C814" s="337">
        <v>41185</v>
      </c>
      <c r="D814" s="338" t="s">
        <v>7360</v>
      </c>
      <c r="E814" s="338" t="s">
        <v>7097</v>
      </c>
      <c r="F814" s="338"/>
      <c r="G814" s="338" t="s">
        <v>413</v>
      </c>
      <c r="H814" s="338" t="s">
        <v>412</v>
      </c>
      <c r="I814" s="338" t="s">
        <v>411</v>
      </c>
      <c r="J814" s="339"/>
      <c r="K814" s="339"/>
      <c r="L814" s="339" t="s">
        <v>409</v>
      </c>
      <c r="M814" s="339" t="s">
        <v>409</v>
      </c>
      <c r="N814" s="338" t="s">
        <v>432</v>
      </c>
      <c r="O814" s="338" t="s">
        <v>409</v>
      </c>
      <c r="P814" s="338" t="s">
        <v>410</v>
      </c>
    </row>
    <row r="815" spans="2:16" x14ac:dyDescent="0.25">
      <c r="B815" s="336" t="s">
        <v>416</v>
      </c>
      <c r="C815" s="337">
        <v>41184</v>
      </c>
      <c r="D815" s="338" t="s">
        <v>7359</v>
      </c>
      <c r="E815" s="338" t="s">
        <v>4930</v>
      </c>
      <c r="F815" s="338"/>
      <c r="G815" s="338" t="s">
        <v>413</v>
      </c>
      <c r="H815" s="338" t="s">
        <v>412</v>
      </c>
      <c r="I815" s="338" t="s">
        <v>411</v>
      </c>
      <c r="J815" s="339"/>
      <c r="K815" s="339"/>
      <c r="L815" s="339" t="s">
        <v>409</v>
      </c>
      <c r="M815" s="339" t="s">
        <v>409</v>
      </c>
      <c r="N815" s="338"/>
      <c r="O815" s="338" t="s">
        <v>409</v>
      </c>
      <c r="P815" s="338" t="s">
        <v>417</v>
      </c>
    </row>
    <row r="816" spans="2:16" x14ac:dyDescent="0.25">
      <c r="B816" s="336" t="s">
        <v>459</v>
      </c>
      <c r="C816" s="337">
        <v>41184</v>
      </c>
      <c r="D816" s="338" t="s">
        <v>5604</v>
      </c>
      <c r="E816" s="338" t="s">
        <v>7358</v>
      </c>
      <c r="F816" s="338"/>
      <c r="G816" s="338">
        <v>9</v>
      </c>
      <c r="H816" s="338" t="s">
        <v>425</v>
      </c>
      <c r="I816" s="338" t="s">
        <v>411</v>
      </c>
      <c r="J816" s="339"/>
      <c r="K816" s="339"/>
      <c r="L816" s="339" t="s">
        <v>409</v>
      </c>
      <c r="M816" s="339" t="s">
        <v>409</v>
      </c>
      <c r="N816" s="338" t="s">
        <v>417</v>
      </c>
      <c r="O816" s="338" t="s">
        <v>409</v>
      </c>
      <c r="P816" s="338"/>
    </row>
    <row r="817" spans="2:16" x14ac:dyDescent="0.25">
      <c r="B817" s="336" t="s">
        <v>416</v>
      </c>
      <c r="C817" s="337">
        <v>41184</v>
      </c>
      <c r="D817" s="338" t="s">
        <v>7357</v>
      </c>
      <c r="E817" s="338" t="s">
        <v>7356</v>
      </c>
      <c r="F817" s="338"/>
      <c r="G817" s="338" t="s">
        <v>413</v>
      </c>
      <c r="H817" s="338" t="s">
        <v>412</v>
      </c>
      <c r="I817" s="338" t="s">
        <v>411</v>
      </c>
      <c r="J817" s="339"/>
      <c r="K817" s="339"/>
      <c r="L817" s="339" t="s">
        <v>409</v>
      </c>
      <c r="M817" s="339" t="s">
        <v>409</v>
      </c>
      <c r="N817" s="338" t="s">
        <v>605</v>
      </c>
      <c r="O817" s="338" t="s">
        <v>409</v>
      </c>
      <c r="P817" s="338" t="s">
        <v>410</v>
      </c>
    </row>
    <row r="818" spans="2:16" x14ac:dyDescent="0.25">
      <c r="B818" s="336" t="s">
        <v>416</v>
      </c>
      <c r="C818" s="337">
        <v>41184</v>
      </c>
      <c r="D818" s="338" t="s">
        <v>7355</v>
      </c>
      <c r="E818" s="338" t="s">
        <v>7354</v>
      </c>
      <c r="F818" s="338" t="s">
        <v>7353</v>
      </c>
      <c r="G818" s="338" t="s">
        <v>413</v>
      </c>
      <c r="H818" s="338" t="s">
        <v>425</v>
      </c>
      <c r="I818" s="338" t="s">
        <v>411</v>
      </c>
      <c r="J818" s="339"/>
      <c r="K818" s="339"/>
      <c r="L818" s="339"/>
      <c r="M818" s="339"/>
      <c r="N818" s="338"/>
      <c r="O818" s="338" t="s">
        <v>443</v>
      </c>
      <c r="P818" s="338" t="s">
        <v>417</v>
      </c>
    </row>
    <row r="819" spans="2:16" x14ac:dyDescent="0.25">
      <c r="B819" s="336" t="s">
        <v>416</v>
      </c>
      <c r="C819" s="337">
        <v>41184</v>
      </c>
      <c r="D819" s="338" t="s">
        <v>4442</v>
      </c>
      <c r="E819" s="338" t="s">
        <v>7352</v>
      </c>
      <c r="F819" s="338" t="s">
        <v>4441</v>
      </c>
      <c r="G819" s="338" t="s">
        <v>413</v>
      </c>
      <c r="H819" s="338" t="s">
        <v>412</v>
      </c>
      <c r="I819" s="338" t="s">
        <v>411</v>
      </c>
      <c r="J819" s="339"/>
      <c r="K819" s="339"/>
      <c r="L819" s="339"/>
      <c r="M819" s="339"/>
      <c r="N819" s="338" t="s">
        <v>417</v>
      </c>
      <c r="O819" s="338" t="s">
        <v>487</v>
      </c>
      <c r="P819" s="338" t="s">
        <v>487</v>
      </c>
    </row>
    <row r="820" spans="2:16" x14ac:dyDescent="0.25">
      <c r="B820" s="336" t="s">
        <v>416</v>
      </c>
      <c r="C820" s="337">
        <v>41183</v>
      </c>
      <c r="D820" s="338" t="s">
        <v>7351</v>
      </c>
      <c r="E820" s="338" t="s">
        <v>7350</v>
      </c>
      <c r="F820" s="338"/>
      <c r="G820" s="338" t="s">
        <v>413</v>
      </c>
      <c r="H820" s="338" t="s">
        <v>412</v>
      </c>
      <c r="I820" s="338" t="s">
        <v>411</v>
      </c>
      <c r="J820" s="339"/>
      <c r="K820" s="339"/>
      <c r="L820" s="339" t="s">
        <v>409</v>
      </c>
      <c r="M820" s="339" t="s">
        <v>409</v>
      </c>
      <c r="N820" s="338" t="s">
        <v>417</v>
      </c>
      <c r="O820" s="338" t="s">
        <v>409</v>
      </c>
      <c r="P820" s="338" t="s">
        <v>410</v>
      </c>
    </row>
    <row r="821" spans="2:16" x14ac:dyDescent="0.25">
      <c r="B821" s="336" t="s">
        <v>416</v>
      </c>
      <c r="C821" s="337">
        <v>41183</v>
      </c>
      <c r="D821" s="338" t="s">
        <v>7349</v>
      </c>
      <c r="E821" s="338" t="s">
        <v>1119</v>
      </c>
      <c r="F821" s="338" t="s">
        <v>7348</v>
      </c>
      <c r="G821" s="338">
        <v>19</v>
      </c>
      <c r="H821" s="338" t="s">
        <v>425</v>
      </c>
      <c r="I821" s="338" t="s">
        <v>411</v>
      </c>
      <c r="J821" s="339"/>
      <c r="K821" s="339"/>
      <c r="L821" s="339"/>
      <c r="M821" s="339"/>
      <c r="N821" s="338"/>
      <c r="O821" s="338" t="s">
        <v>417</v>
      </c>
      <c r="P821" s="338" t="s">
        <v>417</v>
      </c>
    </row>
    <row r="822" spans="2:16" x14ac:dyDescent="0.25">
      <c r="B822" s="336" t="s">
        <v>416</v>
      </c>
      <c r="C822" s="337">
        <v>41179</v>
      </c>
      <c r="D822" s="338" t="s">
        <v>7347</v>
      </c>
      <c r="E822" s="338" t="s">
        <v>7346</v>
      </c>
      <c r="F822" s="338" t="s">
        <v>7346</v>
      </c>
      <c r="G822" s="338" t="s">
        <v>413</v>
      </c>
      <c r="H822" s="338" t="s">
        <v>425</v>
      </c>
      <c r="I822" s="338" t="s">
        <v>1243</v>
      </c>
      <c r="J822" s="339"/>
      <c r="K822" s="339"/>
      <c r="L822" s="339"/>
      <c r="M822" s="339"/>
      <c r="N822" s="338"/>
      <c r="O822" s="338" t="s">
        <v>417</v>
      </c>
      <c r="P822" s="338" t="s">
        <v>417</v>
      </c>
    </row>
    <row r="823" spans="2:16" x14ac:dyDescent="0.25">
      <c r="B823" s="336" t="s">
        <v>416</v>
      </c>
      <c r="C823" s="337">
        <v>41179</v>
      </c>
      <c r="D823" s="338" t="s">
        <v>7345</v>
      </c>
      <c r="E823" s="338" t="s">
        <v>7344</v>
      </c>
      <c r="F823" s="338"/>
      <c r="G823" s="338">
        <v>69.430000000000007</v>
      </c>
      <c r="H823" s="338" t="s">
        <v>425</v>
      </c>
      <c r="I823" s="338" t="s">
        <v>411</v>
      </c>
      <c r="J823" s="339">
        <v>0.68344099999999997</v>
      </c>
      <c r="K823" s="339">
        <v>5.8564999999999996</v>
      </c>
      <c r="L823" s="339" t="s">
        <v>409</v>
      </c>
      <c r="M823" s="339" t="s">
        <v>409</v>
      </c>
      <c r="N823" s="338" t="s">
        <v>410</v>
      </c>
      <c r="O823" s="338" t="s">
        <v>409</v>
      </c>
      <c r="P823" s="338" t="s">
        <v>410</v>
      </c>
    </row>
    <row r="824" spans="2:16" x14ac:dyDescent="0.25">
      <c r="B824" s="336" t="s">
        <v>416</v>
      </c>
      <c r="C824" s="337">
        <v>41178</v>
      </c>
      <c r="D824" s="338" t="s">
        <v>7343</v>
      </c>
      <c r="E824" s="338" t="s">
        <v>7342</v>
      </c>
      <c r="F824" s="338" t="s">
        <v>7341</v>
      </c>
      <c r="G824" s="338" t="s">
        <v>413</v>
      </c>
      <c r="H824" s="338" t="s">
        <v>425</v>
      </c>
      <c r="I824" s="338" t="s">
        <v>411</v>
      </c>
      <c r="J824" s="339"/>
      <c r="K824" s="339"/>
      <c r="L824" s="339"/>
      <c r="M824" s="339"/>
      <c r="N824" s="338"/>
      <c r="O824" s="338" t="s">
        <v>408</v>
      </c>
      <c r="P824" s="338" t="s">
        <v>417</v>
      </c>
    </row>
    <row r="825" spans="2:16" x14ac:dyDescent="0.25">
      <c r="B825" s="336" t="s">
        <v>416</v>
      </c>
      <c r="C825" s="337">
        <v>41178</v>
      </c>
      <c r="D825" s="338" t="s">
        <v>7340</v>
      </c>
      <c r="E825" s="338" t="s">
        <v>5914</v>
      </c>
      <c r="F825" s="338"/>
      <c r="G825" s="338" t="s">
        <v>413</v>
      </c>
      <c r="H825" s="338" t="s">
        <v>412</v>
      </c>
      <c r="I825" s="338" t="s">
        <v>411</v>
      </c>
      <c r="J825" s="339"/>
      <c r="K825" s="339"/>
      <c r="L825" s="339" t="s">
        <v>409</v>
      </c>
      <c r="M825" s="339" t="s">
        <v>409</v>
      </c>
      <c r="N825" s="338" t="s">
        <v>417</v>
      </c>
      <c r="O825" s="338" t="s">
        <v>409</v>
      </c>
      <c r="P825" s="338" t="s">
        <v>543</v>
      </c>
    </row>
    <row r="826" spans="2:16" x14ac:dyDescent="0.25">
      <c r="B826" s="336" t="s">
        <v>416</v>
      </c>
      <c r="C826" s="337">
        <v>41177</v>
      </c>
      <c r="D826" s="338" t="s">
        <v>7339</v>
      </c>
      <c r="E826" s="338" t="s">
        <v>7338</v>
      </c>
      <c r="F826" s="338"/>
      <c r="G826" s="338" t="s">
        <v>413</v>
      </c>
      <c r="H826" s="338" t="s">
        <v>412</v>
      </c>
      <c r="I826" s="338" t="s">
        <v>411</v>
      </c>
      <c r="J826" s="339"/>
      <c r="K826" s="339"/>
      <c r="L826" s="339" t="s">
        <v>409</v>
      </c>
      <c r="M826" s="339" t="s">
        <v>409</v>
      </c>
      <c r="N826" s="338" t="s">
        <v>417</v>
      </c>
      <c r="O826" s="338" t="s">
        <v>409</v>
      </c>
      <c r="P826" s="338" t="s">
        <v>417</v>
      </c>
    </row>
    <row r="827" spans="2:16" x14ac:dyDescent="0.25">
      <c r="B827" s="336" t="s">
        <v>416</v>
      </c>
      <c r="C827" s="337">
        <v>41177</v>
      </c>
      <c r="D827" s="338" t="s">
        <v>7337</v>
      </c>
      <c r="E827" s="338" t="s">
        <v>5884</v>
      </c>
      <c r="F827" s="338"/>
      <c r="G827" s="338" t="s">
        <v>413</v>
      </c>
      <c r="H827" s="338" t="s">
        <v>412</v>
      </c>
      <c r="I827" s="338" t="s">
        <v>411</v>
      </c>
      <c r="J827" s="339"/>
      <c r="K827" s="339"/>
      <c r="L827" s="339" t="s">
        <v>409</v>
      </c>
      <c r="M827" s="339" t="s">
        <v>409</v>
      </c>
      <c r="N827" s="338" t="s">
        <v>417</v>
      </c>
      <c r="O827" s="338" t="s">
        <v>409</v>
      </c>
      <c r="P827" s="338" t="s">
        <v>410</v>
      </c>
    </row>
    <row r="828" spans="2:16" x14ac:dyDescent="0.25">
      <c r="B828" s="336" t="s">
        <v>416</v>
      </c>
      <c r="C828" s="337">
        <v>41177</v>
      </c>
      <c r="D828" s="338" t="s">
        <v>7336</v>
      </c>
      <c r="E828" s="338" t="s">
        <v>7335</v>
      </c>
      <c r="F828" s="338"/>
      <c r="G828" s="338">
        <v>167</v>
      </c>
      <c r="H828" s="338" t="s">
        <v>425</v>
      </c>
      <c r="I828" s="338" t="s">
        <v>411</v>
      </c>
      <c r="J828" s="339"/>
      <c r="K828" s="339"/>
      <c r="L828" s="339" t="s">
        <v>409</v>
      </c>
      <c r="M828" s="339" t="s">
        <v>409</v>
      </c>
      <c r="N828" s="338" t="s">
        <v>417</v>
      </c>
      <c r="O828" s="338" t="s">
        <v>409</v>
      </c>
      <c r="P828" s="338" t="s">
        <v>417</v>
      </c>
    </row>
    <row r="829" spans="2:16" x14ac:dyDescent="0.25">
      <c r="B829" s="336" t="s">
        <v>416</v>
      </c>
      <c r="C829" s="337">
        <v>41176</v>
      </c>
      <c r="D829" s="338" t="s">
        <v>7334</v>
      </c>
      <c r="E829" s="338" t="s">
        <v>7333</v>
      </c>
      <c r="F829" s="338"/>
      <c r="G829" s="338">
        <v>39.08</v>
      </c>
      <c r="H829" s="338" t="s">
        <v>425</v>
      </c>
      <c r="I829" s="338" t="s">
        <v>1243</v>
      </c>
      <c r="J829" s="339">
        <v>2.7796799999999999</v>
      </c>
      <c r="K829" s="339"/>
      <c r="L829" s="339" t="s">
        <v>409</v>
      </c>
      <c r="M829" s="339" t="s">
        <v>409</v>
      </c>
      <c r="N829" s="338" t="s">
        <v>432</v>
      </c>
      <c r="O829" s="338" t="s">
        <v>409</v>
      </c>
      <c r="P829" s="338"/>
    </row>
    <row r="830" spans="2:16" x14ac:dyDescent="0.25">
      <c r="B830" s="336" t="s">
        <v>459</v>
      </c>
      <c r="C830" s="337">
        <v>41176</v>
      </c>
      <c r="D830" s="338" t="s">
        <v>7332</v>
      </c>
      <c r="E830" s="338" t="s">
        <v>7331</v>
      </c>
      <c r="F830" s="338"/>
      <c r="G830" s="338">
        <v>1.5</v>
      </c>
      <c r="H830" s="338" t="s">
        <v>425</v>
      </c>
      <c r="I830" s="338" t="s">
        <v>411</v>
      </c>
      <c r="J830" s="339"/>
      <c r="K830" s="339"/>
      <c r="L830" s="339" t="s">
        <v>409</v>
      </c>
      <c r="M830" s="339" t="s">
        <v>409</v>
      </c>
      <c r="N830" s="338" t="s">
        <v>605</v>
      </c>
      <c r="O830" s="338" t="s">
        <v>409</v>
      </c>
      <c r="P830" s="338" t="s">
        <v>443</v>
      </c>
    </row>
    <row r="831" spans="2:16" x14ac:dyDescent="0.25">
      <c r="B831" s="336" t="s">
        <v>416</v>
      </c>
      <c r="C831" s="337">
        <v>41176</v>
      </c>
      <c r="D831" s="338" t="s">
        <v>7330</v>
      </c>
      <c r="E831" s="338" t="s">
        <v>6135</v>
      </c>
      <c r="F831" s="338"/>
      <c r="G831" s="338" t="s">
        <v>413</v>
      </c>
      <c r="H831" s="338" t="s">
        <v>412</v>
      </c>
      <c r="I831" s="338" t="s">
        <v>411</v>
      </c>
      <c r="J831" s="339"/>
      <c r="K831" s="339"/>
      <c r="L831" s="339" t="s">
        <v>409</v>
      </c>
      <c r="M831" s="339" t="s">
        <v>409</v>
      </c>
      <c r="N831" s="338" t="s">
        <v>417</v>
      </c>
      <c r="O831" s="338" t="s">
        <v>409</v>
      </c>
      <c r="P831" s="338" t="s">
        <v>417</v>
      </c>
    </row>
    <row r="832" spans="2:16" x14ac:dyDescent="0.25">
      <c r="B832" s="336" t="s">
        <v>459</v>
      </c>
      <c r="C832" s="337">
        <v>41176</v>
      </c>
      <c r="D832" s="338" t="s">
        <v>7329</v>
      </c>
      <c r="E832" s="338" t="s">
        <v>7328</v>
      </c>
      <c r="F832" s="338"/>
      <c r="G832" s="338" t="s">
        <v>413</v>
      </c>
      <c r="H832" s="338" t="s">
        <v>425</v>
      </c>
      <c r="I832" s="338" t="s">
        <v>411</v>
      </c>
      <c r="J832" s="339"/>
      <c r="K832" s="339"/>
      <c r="L832" s="339" t="s">
        <v>409</v>
      </c>
      <c r="M832" s="339" t="s">
        <v>409</v>
      </c>
      <c r="N832" s="338" t="s">
        <v>417</v>
      </c>
      <c r="O832" s="338" t="s">
        <v>409</v>
      </c>
      <c r="P832" s="338" t="s">
        <v>443</v>
      </c>
    </row>
    <row r="833" spans="2:16" x14ac:dyDescent="0.25">
      <c r="B833" s="336" t="s">
        <v>416</v>
      </c>
      <c r="C833" s="337">
        <v>41173</v>
      </c>
      <c r="D833" s="338" t="s">
        <v>7327</v>
      </c>
      <c r="E833" s="338" t="s">
        <v>7326</v>
      </c>
      <c r="F833" s="338"/>
      <c r="G833" s="338" t="s">
        <v>413</v>
      </c>
      <c r="H833" s="338" t="s">
        <v>412</v>
      </c>
      <c r="I833" s="338" t="s">
        <v>411</v>
      </c>
      <c r="J833" s="339"/>
      <c r="K833" s="339"/>
      <c r="L833" s="339" t="s">
        <v>409</v>
      </c>
      <c r="M833" s="339" t="s">
        <v>409</v>
      </c>
      <c r="N833" s="338" t="s">
        <v>417</v>
      </c>
      <c r="O833" s="338" t="s">
        <v>409</v>
      </c>
      <c r="P833" s="338" t="s">
        <v>417</v>
      </c>
    </row>
    <row r="834" spans="2:16" x14ac:dyDescent="0.25">
      <c r="B834" s="336" t="s">
        <v>416</v>
      </c>
      <c r="C834" s="337">
        <v>41173</v>
      </c>
      <c r="D834" s="338" t="s">
        <v>7325</v>
      </c>
      <c r="E834" s="338" t="s">
        <v>7041</v>
      </c>
      <c r="F834" s="338"/>
      <c r="G834" s="338" t="s">
        <v>413</v>
      </c>
      <c r="H834" s="338" t="s">
        <v>412</v>
      </c>
      <c r="I834" s="338" t="s">
        <v>411</v>
      </c>
      <c r="J834" s="339"/>
      <c r="K834" s="339"/>
      <c r="L834" s="339" t="s">
        <v>409</v>
      </c>
      <c r="M834" s="339" t="s">
        <v>409</v>
      </c>
      <c r="N834" s="338" t="s">
        <v>432</v>
      </c>
      <c r="O834" s="338" t="s">
        <v>409</v>
      </c>
      <c r="P834" s="338" t="s">
        <v>417</v>
      </c>
    </row>
    <row r="835" spans="2:16" x14ac:dyDescent="0.25">
      <c r="B835" s="336" t="s">
        <v>416</v>
      </c>
      <c r="C835" s="337">
        <v>41172</v>
      </c>
      <c r="D835" s="338" t="s">
        <v>7324</v>
      </c>
      <c r="E835" s="338" t="s">
        <v>7323</v>
      </c>
      <c r="F835" s="338"/>
      <c r="G835" s="338" t="s">
        <v>413</v>
      </c>
      <c r="H835" s="338" t="s">
        <v>412</v>
      </c>
      <c r="I835" s="338" t="s">
        <v>411</v>
      </c>
      <c r="J835" s="339"/>
      <c r="K835" s="339"/>
      <c r="L835" s="339" t="s">
        <v>409</v>
      </c>
      <c r="M835" s="339" t="s">
        <v>409</v>
      </c>
      <c r="N835" s="338" t="s">
        <v>410</v>
      </c>
      <c r="O835" s="338" t="s">
        <v>409</v>
      </c>
      <c r="P835" s="338" t="s">
        <v>410</v>
      </c>
    </row>
    <row r="836" spans="2:16" x14ac:dyDescent="0.25">
      <c r="B836" s="336" t="s">
        <v>459</v>
      </c>
      <c r="C836" s="337">
        <v>41172</v>
      </c>
      <c r="D836" s="338" t="s">
        <v>7322</v>
      </c>
      <c r="E836" s="338" t="s">
        <v>7321</v>
      </c>
      <c r="F836" s="338"/>
      <c r="G836" s="338">
        <v>0.5</v>
      </c>
      <c r="H836" s="338" t="s">
        <v>425</v>
      </c>
      <c r="I836" s="338" t="s">
        <v>411</v>
      </c>
      <c r="J836" s="339"/>
      <c r="K836" s="339"/>
      <c r="L836" s="339" t="s">
        <v>409</v>
      </c>
      <c r="M836" s="339" t="s">
        <v>409</v>
      </c>
      <c r="N836" s="338" t="s">
        <v>417</v>
      </c>
      <c r="O836" s="338" t="s">
        <v>409</v>
      </c>
      <c r="P836" s="338" t="s">
        <v>443</v>
      </c>
    </row>
    <row r="837" spans="2:16" x14ac:dyDescent="0.25">
      <c r="B837" s="336" t="s">
        <v>416</v>
      </c>
      <c r="C837" s="337">
        <v>41172</v>
      </c>
      <c r="D837" s="338" t="s">
        <v>956</v>
      </c>
      <c r="E837" s="338" t="s">
        <v>7320</v>
      </c>
      <c r="F837" s="338" t="s">
        <v>7319</v>
      </c>
      <c r="G837" s="338" t="s">
        <v>413</v>
      </c>
      <c r="H837" s="338" t="s">
        <v>425</v>
      </c>
      <c r="I837" s="338" t="s">
        <v>411</v>
      </c>
      <c r="J837" s="339"/>
      <c r="K837" s="339"/>
      <c r="L837" s="339"/>
      <c r="M837" s="339"/>
      <c r="N837" s="338"/>
      <c r="O837" s="338" t="s">
        <v>487</v>
      </c>
      <c r="P837" s="338" t="s">
        <v>417</v>
      </c>
    </row>
    <row r="838" spans="2:16" x14ac:dyDescent="0.25">
      <c r="B838" s="336" t="s">
        <v>416</v>
      </c>
      <c r="C838" s="337">
        <v>41171</v>
      </c>
      <c r="D838" s="338" t="s">
        <v>7318</v>
      </c>
      <c r="E838" s="338" t="s">
        <v>3196</v>
      </c>
      <c r="F838" s="338"/>
      <c r="G838" s="338">
        <v>500</v>
      </c>
      <c r="H838" s="338" t="s">
        <v>425</v>
      </c>
      <c r="I838" s="338" t="s">
        <v>411</v>
      </c>
      <c r="J838" s="339"/>
      <c r="K838" s="339"/>
      <c r="L838" s="339" t="s">
        <v>409</v>
      </c>
      <c r="M838" s="339" t="s">
        <v>409</v>
      </c>
      <c r="N838" s="338" t="s">
        <v>417</v>
      </c>
      <c r="O838" s="338" t="s">
        <v>409</v>
      </c>
      <c r="P838" s="338" t="s">
        <v>417</v>
      </c>
    </row>
    <row r="839" spans="2:16" x14ac:dyDescent="0.25">
      <c r="B839" s="336" t="s">
        <v>416</v>
      </c>
      <c r="C839" s="337">
        <v>41170</v>
      </c>
      <c r="D839" s="338" t="s">
        <v>7317</v>
      </c>
      <c r="E839" s="338" t="s">
        <v>925</v>
      </c>
      <c r="F839" s="338"/>
      <c r="G839" s="338" t="s">
        <v>413</v>
      </c>
      <c r="H839" s="338" t="s">
        <v>412</v>
      </c>
      <c r="I839" s="338" t="s">
        <v>411</v>
      </c>
      <c r="J839" s="339"/>
      <c r="K839" s="339"/>
      <c r="L839" s="339" t="s">
        <v>409</v>
      </c>
      <c r="M839" s="339" t="s">
        <v>409</v>
      </c>
      <c r="N839" s="338" t="s">
        <v>410</v>
      </c>
      <c r="O839" s="338" t="s">
        <v>409</v>
      </c>
      <c r="P839" s="338" t="s">
        <v>417</v>
      </c>
    </row>
    <row r="840" spans="2:16" x14ac:dyDescent="0.25">
      <c r="B840" s="336" t="s">
        <v>416</v>
      </c>
      <c r="C840" s="337">
        <v>41170</v>
      </c>
      <c r="D840" s="338" t="s">
        <v>552</v>
      </c>
      <c r="E840" s="338" t="s">
        <v>2775</v>
      </c>
      <c r="F840" s="338" t="s">
        <v>2568</v>
      </c>
      <c r="G840" s="338" t="s">
        <v>413</v>
      </c>
      <c r="H840" s="338" t="s">
        <v>425</v>
      </c>
      <c r="I840" s="338" t="s">
        <v>411</v>
      </c>
      <c r="J840" s="339"/>
      <c r="K840" s="339"/>
      <c r="L840" s="339"/>
      <c r="M840" s="339"/>
      <c r="N840" s="338"/>
      <c r="O840" s="338" t="s">
        <v>417</v>
      </c>
      <c r="P840" s="338" t="s">
        <v>417</v>
      </c>
    </row>
    <row r="841" spans="2:16" x14ac:dyDescent="0.25">
      <c r="B841" s="336" t="s">
        <v>416</v>
      </c>
      <c r="C841" s="337">
        <v>41169</v>
      </c>
      <c r="D841" s="338" t="s">
        <v>7119</v>
      </c>
      <c r="E841" s="338" t="s">
        <v>1147</v>
      </c>
      <c r="F841" s="338" t="s">
        <v>4990</v>
      </c>
      <c r="G841" s="338" t="s">
        <v>413</v>
      </c>
      <c r="H841" s="338" t="s">
        <v>425</v>
      </c>
      <c r="I841" s="338" t="s">
        <v>411</v>
      </c>
      <c r="J841" s="339"/>
      <c r="K841" s="339"/>
      <c r="L841" s="339">
        <v>0.34881099999999998</v>
      </c>
      <c r="M841" s="339"/>
      <c r="N841" s="338"/>
      <c r="O841" s="338" t="s">
        <v>417</v>
      </c>
      <c r="P841" s="338" t="s">
        <v>410</v>
      </c>
    </row>
    <row r="842" spans="2:16" x14ac:dyDescent="0.25">
      <c r="B842" s="336" t="s">
        <v>416</v>
      </c>
      <c r="C842" s="337">
        <v>41169</v>
      </c>
      <c r="D842" s="338" t="s">
        <v>7316</v>
      </c>
      <c r="E842" s="338" t="s">
        <v>485</v>
      </c>
      <c r="F842" s="338"/>
      <c r="G842" s="338">
        <v>4</v>
      </c>
      <c r="H842" s="338" t="s">
        <v>425</v>
      </c>
      <c r="I842" s="338" t="s">
        <v>411</v>
      </c>
      <c r="J842" s="339"/>
      <c r="K842" s="339"/>
      <c r="L842" s="339" t="s">
        <v>409</v>
      </c>
      <c r="M842" s="339" t="s">
        <v>409</v>
      </c>
      <c r="N842" s="338"/>
      <c r="O842" s="338" t="s">
        <v>409</v>
      </c>
      <c r="P842" s="338" t="s">
        <v>417</v>
      </c>
    </row>
    <row r="843" spans="2:16" x14ac:dyDescent="0.25">
      <c r="B843" s="336" t="s">
        <v>416</v>
      </c>
      <c r="C843" s="337">
        <v>41165</v>
      </c>
      <c r="D843" s="338" t="s">
        <v>945</v>
      </c>
      <c r="E843" s="338" t="s">
        <v>7315</v>
      </c>
      <c r="F843" s="338" t="s">
        <v>4097</v>
      </c>
      <c r="G843" s="338">
        <v>285</v>
      </c>
      <c r="H843" s="338" t="s">
        <v>425</v>
      </c>
      <c r="I843" s="338" t="s">
        <v>411</v>
      </c>
      <c r="J843" s="339"/>
      <c r="K843" s="339"/>
      <c r="L843" s="339"/>
      <c r="M843" s="339"/>
      <c r="N843" s="338"/>
      <c r="O843" s="338" t="s">
        <v>417</v>
      </c>
      <c r="P843" s="338" t="s">
        <v>410</v>
      </c>
    </row>
    <row r="844" spans="2:16" x14ac:dyDescent="0.25">
      <c r="B844" s="336" t="s">
        <v>459</v>
      </c>
      <c r="C844" s="337">
        <v>41164</v>
      </c>
      <c r="D844" s="338" t="s">
        <v>7314</v>
      </c>
      <c r="E844" s="338" t="s">
        <v>7313</v>
      </c>
      <c r="F844" s="338"/>
      <c r="G844" s="338">
        <v>1</v>
      </c>
      <c r="H844" s="338" t="s">
        <v>425</v>
      </c>
      <c r="I844" s="338" t="s">
        <v>411</v>
      </c>
      <c r="J844" s="339"/>
      <c r="K844" s="339"/>
      <c r="L844" s="339" t="s">
        <v>409</v>
      </c>
      <c r="M844" s="339" t="s">
        <v>409</v>
      </c>
      <c r="N844" s="338" t="s">
        <v>432</v>
      </c>
      <c r="O844" s="338" t="s">
        <v>409</v>
      </c>
      <c r="P844" s="338"/>
    </row>
    <row r="845" spans="2:16" x14ac:dyDescent="0.25">
      <c r="B845" s="336" t="s">
        <v>416</v>
      </c>
      <c r="C845" s="337">
        <v>41163</v>
      </c>
      <c r="D845" s="338" t="s">
        <v>7312</v>
      </c>
      <c r="E845" s="338" t="s">
        <v>453</v>
      </c>
      <c r="F845" s="338"/>
      <c r="G845" s="338" t="s">
        <v>413</v>
      </c>
      <c r="H845" s="338" t="s">
        <v>425</v>
      </c>
      <c r="I845" s="338" t="s">
        <v>411</v>
      </c>
      <c r="J845" s="339"/>
      <c r="K845" s="339"/>
      <c r="L845" s="339" t="s">
        <v>409</v>
      </c>
      <c r="M845" s="339" t="s">
        <v>409</v>
      </c>
      <c r="N845" s="338" t="s">
        <v>417</v>
      </c>
      <c r="O845" s="338" t="s">
        <v>409</v>
      </c>
      <c r="P845" s="338" t="s">
        <v>443</v>
      </c>
    </row>
    <row r="846" spans="2:16" x14ac:dyDescent="0.25">
      <c r="B846" s="336" t="s">
        <v>416</v>
      </c>
      <c r="C846" s="337">
        <v>41163</v>
      </c>
      <c r="D846" s="338" t="s">
        <v>7311</v>
      </c>
      <c r="E846" s="338" t="s">
        <v>1225</v>
      </c>
      <c r="F846" s="338" t="s">
        <v>6281</v>
      </c>
      <c r="G846" s="338" t="s">
        <v>413</v>
      </c>
      <c r="H846" s="338" t="s">
        <v>425</v>
      </c>
      <c r="I846" s="338" t="s">
        <v>411</v>
      </c>
      <c r="J846" s="339"/>
      <c r="K846" s="339"/>
      <c r="L846" s="339"/>
      <c r="M846" s="339"/>
      <c r="N846" s="338"/>
      <c r="O846" s="338" t="s">
        <v>417</v>
      </c>
      <c r="P846" s="338" t="s">
        <v>417</v>
      </c>
    </row>
    <row r="847" spans="2:16" x14ac:dyDescent="0.25">
      <c r="B847" s="336" t="s">
        <v>416</v>
      </c>
      <c r="C847" s="337">
        <v>41162</v>
      </c>
      <c r="D847" s="338" t="s">
        <v>7310</v>
      </c>
      <c r="E847" s="338" t="s">
        <v>1028</v>
      </c>
      <c r="F847" s="338" t="s">
        <v>644</v>
      </c>
      <c r="G847" s="338" t="s">
        <v>413</v>
      </c>
      <c r="H847" s="338" t="s">
        <v>425</v>
      </c>
      <c r="I847" s="338" t="s">
        <v>411</v>
      </c>
      <c r="J847" s="339"/>
      <c r="K847" s="339"/>
      <c r="L847" s="339">
        <v>0.53802499999999998</v>
      </c>
      <c r="M847" s="339">
        <v>7.9156399999999998</v>
      </c>
      <c r="N847" s="338"/>
      <c r="O847" s="338" t="s">
        <v>417</v>
      </c>
      <c r="P847" s="338" t="s">
        <v>417</v>
      </c>
    </row>
    <row r="848" spans="2:16" x14ac:dyDescent="0.25">
      <c r="B848" s="336" t="s">
        <v>416</v>
      </c>
      <c r="C848" s="337">
        <v>41162</v>
      </c>
      <c r="D848" s="338" t="s">
        <v>956</v>
      </c>
      <c r="E848" s="338" t="s">
        <v>7309</v>
      </c>
      <c r="F848" s="338" t="s">
        <v>6487</v>
      </c>
      <c r="G848" s="338" t="s">
        <v>413</v>
      </c>
      <c r="H848" s="338" t="s">
        <v>425</v>
      </c>
      <c r="I848" s="338" t="s">
        <v>411</v>
      </c>
      <c r="J848" s="339"/>
      <c r="K848" s="339"/>
      <c r="L848" s="339"/>
      <c r="M848" s="339"/>
      <c r="N848" s="338"/>
      <c r="O848" s="338" t="s">
        <v>417</v>
      </c>
      <c r="P848" s="338" t="s">
        <v>417</v>
      </c>
    </row>
    <row r="849" spans="2:16" x14ac:dyDescent="0.25">
      <c r="B849" s="336" t="s">
        <v>416</v>
      </c>
      <c r="C849" s="337">
        <v>41162</v>
      </c>
      <c r="D849" s="338" t="s">
        <v>7308</v>
      </c>
      <c r="E849" s="338" t="s">
        <v>6054</v>
      </c>
      <c r="F849" s="338"/>
      <c r="G849" s="338" t="s">
        <v>413</v>
      </c>
      <c r="H849" s="338" t="s">
        <v>412</v>
      </c>
      <c r="I849" s="338" t="s">
        <v>411</v>
      </c>
      <c r="J849" s="339"/>
      <c r="K849" s="339"/>
      <c r="L849" s="339" t="s">
        <v>409</v>
      </c>
      <c r="M849" s="339" t="s">
        <v>409</v>
      </c>
      <c r="N849" s="338" t="s">
        <v>410</v>
      </c>
      <c r="O849" s="338" t="s">
        <v>409</v>
      </c>
      <c r="P849" s="338" t="s">
        <v>417</v>
      </c>
    </row>
    <row r="850" spans="2:16" x14ac:dyDescent="0.25">
      <c r="B850" s="336" t="s">
        <v>416</v>
      </c>
      <c r="C850" s="337">
        <v>41159</v>
      </c>
      <c r="D850" s="338" t="s">
        <v>7307</v>
      </c>
      <c r="E850" s="338" t="s">
        <v>7306</v>
      </c>
      <c r="F850" s="338" t="s">
        <v>7305</v>
      </c>
      <c r="G850" s="338">
        <v>230.18</v>
      </c>
      <c r="H850" s="338" t="s">
        <v>425</v>
      </c>
      <c r="I850" s="338" t="s">
        <v>411</v>
      </c>
      <c r="J850" s="339"/>
      <c r="K850" s="339"/>
      <c r="L850" s="339"/>
      <c r="M850" s="339"/>
      <c r="N850" s="338" t="s">
        <v>417</v>
      </c>
      <c r="O850" s="338"/>
      <c r="P850" s="338" t="s">
        <v>417</v>
      </c>
    </row>
    <row r="851" spans="2:16" x14ac:dyDescent="0.25">
      <c r="B851" s="336" t="s">
        <v>416</v>
      </c>
      <c r="C851" s="337">
        <v>41159</v>
      </c>
      <c r="D851" s="338" t="s">
        <v>3488</v>
      </c>
      <c r="E851" s="338" t="s">
        <v>7304</v>
      </c>
      <c r="F851" s="338" t="s">
        <v>2267</v>
      </c>
      <c r="G851" s="338">
        <v>19.2</v>
      </c>
      <c r="H851" s="338" t="s">
        <v>425</v>
      </c>
      <c r="I851" s="338" t="s">
        <v>411</v>
      </c>
      <c r="J851" s="339"/>
      <c r="K851" s="339"/>
      <c r="L851" s="339"/>
      <c r="M851" s="339"/>
      <c r="N851" s="338"/>
      <c r="O851" s="338" t="s">
        <v>417</v>
      </c>
      <c r="P851" s="338" t="s">
        <v>417</v>
      </c>
    </row>
    <row r="852" spans="2:16" x14ac:dyDescent="0.25">
      <c r="B852" s="336" t="s">
        <v>459</v>
      </c>
      <c r="C852" s="337">
        <v>41159</v>
      </c>
      <c r="D852" s="338" t="s">
        <v>7303</v>
      </c>
      <c r="E852" s="338" t="s">
        <v>7302</v>
      </c>
      <c r="F852" s="338"/>
      <c r="G852" s="338">
        <v>12</v>
      </c>
      <c r="H852" s="338" t="s">
        <v>425</v>
      </c>
      <c r="I852" s="338" t="s">
        <v>411</v>
      </c>
      <c r="J852" s="339"/>
      <c r="K852" s="339"/>
      <c r="L852" s="339" t="s">
        <v>409</v>
      </c>
      <c r="M852" s="339" t="s">
        <v>409</v>
      </c>
      <c r="N852" s="338" t="s">
        <v>417</v>
      </c>
      <c r="O852" s="338" t="s">
        <v>409</v>
      </c>
      <c r="P852" s="338"/>
    </row>
    <row r="853" spans="2:16" x14ac:dyDescent="0.25">
      <c r="B853" s="336" t="s">
        <v>416</v>
      </c>
      <c r="C853" s="337">
        <v>41158</v>
      </c>
      <c r="D853" s="338" t="s">
        <v>7301</v>
      </c>
      <c r="E853" s="338" t="s">
        <v>7300</v>
      </c>
      <c r="F853" s="338" t="s">
        <v>7299</v>
      </c>
      <c r="G853" s="338" t="s">
        <v>413</v>
      </c>
      <c r="H853" s="338" t="s">
        <v>425</v>
      </c>
      <c r="I853" s="338" t="s">
        <v>411</v>
      </c>
      <c r="J853" s="339"/>
      <c r="K853" s="339"/>
      <c r="L853" s="339">
        <v>0.61975800000000003</v>
      </c>
      <c r="M853" s="339">
        <v>6.15252</v>
      </c>
      <c r="N853" s="338"/>
      <c r="O853" s="338" t="s">
        <v>410</v>
      </c>
      <c r="P853" s="338" t="s">
        <v>543</v>
      </c>
    </row>
    <row r="854" spans="2:16" x14ac:dyDescent="0.25">
      <c r="B854" s="336" t="s">
        <v>416</v>
      </c>
      <c r="C854" s="337">
        <v>41158</v>
      </c>
      <c r="D854" s="338" t="s">
        <v>7298</v>
      </c>
      <c r="E854" s="338" t="s">
        <v>4515</v>
      </c>
      <c r="F854" s="338" t="s">
        <v>7297</v>
      </c>
      <c r="G854" s="338" t="s">
        <v>413</v>
      </c>
      <c r="H854" s="338" t="s">
        <v>425</v>
      </c>
      <c r="I854" s="338" t="s">
        <v>411</v>
      </c>
      <c r="J854" s="339"/>
      <c r="K854" s="339"/>
      <c r="L854" s="339"/>
      <c r="M854" s="339"/>
      <c r="N854" s="338"/>
      <c r="O854" s="338" t="s">
        <v>417</v>
      </c>
      <c r="P854" s="338" t="s">
        <v>417</v>
      </c>
    </row>
    <row r="855" spans="2:16" x14ac:dyDescent="0.25">
      <c r="B855" s="336" t="s">
        <v>416</v>
      </c>
      <c r="C855" s="337">
        <v>41158</v>
      </c>
      <c r="D855" s="338" t="s">
        <v>7296</v>
      </c>
      <c r="E855" s="338" t="s">
        <v>7295</v>
      </c>
      <c r="F855" s="338"/>
      <c r="G855" s="338" t="s">
        <v>413</v>
      </c>
      <c r="H855" s="338" t="s">
        <v>412</v>
      </c>
      <c r="I855" s="338" t="s">
        <v>411</v>
      </c>
      <c r="J855" s="339"/>
      <c r="K855" s="339"/>
      <c r="L855" s="339" t="s">
        <v>409</v>
      </c>
      <c r="M855" s="339" t="s">
        <v>409</v>
      </c>
      <c r="N855" s="338" t="s">
        <v>417</v>
      </c>
      <c r="O855" s="338" t="s">
        <v>409</v>
      </c>
      <c r="P855" s="338" t="s">
        <v>410</v>
      </c>
    </row>
    <row r="856" spans="2:16" x14ac:dyDescent="0.25">
      <c r="B856" s="336" t="s">
        <v>416</v>
      </c>
      <c r="C856" s="337">
        <v>41157</v>
      </c>
      <c r="D856" s="338" t="s">
        <v>7294</v>
      </c>
      <c r="E856" s="338" t="s">
        <v>7293</v>
      </c>
      <c r="F856" s="338"/>
      <c r="G856" s="338" t="s">
        <v>413</v>
      </c>
      <c r="H856" s="338" t="s">
        <v>412</v>
      </c>
      <c r="I856" s="338" t="s">
        <v>411</v>
      </c>
      <c r="J856" s="339"/>
      <c r="K856" s="339"/>
      <c r="L856" s="339" t="s">
        <v>409</v>
      </c>
      <c r="M856" s="339" t="s">
        <v>409</v>
      </c>
      <c r="N856" s="338" t="s">
        <v>417</v>
      </c>
      <c r="O856" s="338" t="s">
        <v>409</v>
      </c>
      <c r="P856" s="338" t="s">
        <v>417</v>
      </c>
    </row>
    <row r="857" spans="2:16" x14ac:dyDescent="0.25">
      <c r="B857" s="336" t="s">
        <v>416</v>
      </c>
      <c r="C857" s="337">
        <v>41157</v>
      </c>
      <c r="D857" s="338" t="s">
        <v>7292</v>
      </c>
      <c r="E857" s="338" t="s">
        <v>7291</v>
      </c>
      <c r="F857" s="338"/>
      <c r="G857" s="338" t="s">
        <v>413</v>
      </c>
      <c r="H857" s="338" t="s">
        <v>412</v>
      </c>
      <c r="I857" s="338" t="s">
        <v>411</v>
      </c>
      <c r="J857" s="339"/>
      <c r="K857" s="339"/>
      <c r="L857" s="339" t="s">
        <v>409</v>
      </c>
      <c r="M857" s="339" t="s">
        <v>409</v>
      </c>
      <c r="N857" s="338" t="s">
        <v>410</v>
      </c>
      <c r="O857" s="338" t="s">
        <v>409</v>
      </c>
      <c r="P857" s="338" t="s">
        <v>482</v>
      </c>
    </row>
    <row r="858" spans="2:16" x14ac:dyDescent="0.25">
      <c r="B858" s="336" t="s">
        <v>416</v>
      </c>
      <c r="C858" s="337">
        <v>41157</v>
      </c>
      <c r="D858" s="338" t="s">
        <v>7290</v>
      </c>
      <c r="E858" s="338" t="s">
        <v>7289</v>
      </c>
      <c r="F858" s="338"/>
      <c r="G858" s="338" t="s">
        <v>413</v>
      </c>
      <c r="H858" s="338" t="s">
        <v>425</v>
      </c>
      <c r="I858" s="338" t="s">
        <v>411</v>
      </c>
      <c r="J858" s="339"/>
      <c r="K858" s="339"/>
      <c r="L858" s="339" t="s">
        <v>409</v>
      </c>
      <c r="M858" s="339" t="s">
        <v>409</v>
      </c>
      <c r="N858" s="338" t="s">
        <v>410</v>
      </c>
      <c r="O858" s="338" t="s">
        <v>409</v>
      </c>
      <c r="P858" s="338" t="s">
        <v>443</v>
      </c>
    </row>
    <row r="859" spans="2:16" x14ac:dyDescent="0.25">
      <c r="B859" s="336" t="s">
        <v>416</v>
      </c>
      <c r="C859" s="337">
        <v>41156</v>
      </c>
      <c r="D859" s="338" t="s">
        <v>7288</v>
      </c>
      <c r="E859" s="338" t="s">
        <v>1322</v>
      </c>
      <c r="F859" s="338"/>
      <c r="G859" s="338" t="s">
        <v>413</v>
      </c>
      <c r="H859" s="338" t="s">
        <v>412</v>
      </c>
      <c r="I859" s="338" t="s">
        <v>411</v>
      </c>
      <c r="J859" s="339"/>
      <c r="K859" s="339"/>
      <c r="L859" s="339" t="s">
        <v>409</v>
      </c>
      <c r="M859" s="339" t="s">
        <v>409</v>
      </c>
      <c r="N859" s="338" t="s">
        <v>417</v>
      </c>
      <c r="O859" s="338" t="s">
        <v>409</v>
      </c>
      <c r="P859" s="338" t="s">
        <v>417</v>
      </c>
    </row>
    <row r="860" spans="2:16" x14ac:dyDescent="0.25">
      <c r="B860" s="336" t="s">
        <v>459</v>
      </c>
      <c r="C860" s="337">
        <v>41156</v>
      </c>
      <c r="D860" s="338" t="s">
        <v>7287</v>
      </c>
      <c r="E860" s="338" t="s">
        <v>7286</v>
      </c>
      <c r="F860" s="338"/>
      <c r="G860" s="338">
        <v>15</v>
      </c>
      <c r="H860" s="338" t="s">
        <v>425</v>
      </c>
      <c r="I860" s="338" t="s">
        <v>411</v>
      </c>
      <c r="J860" s="339"/>
      <c r="K860" s="339"/>
      <c r="L860" s="339" t="s">
        <v>409</v>
      </c>
      <c r="M860" s="339" t="s">
        <v>409</v>
      </c>
      <c r="N860" s="338" t="s">
        <v>417</v>
      </c>
      <c r="O860" s="338" t="s">
        <v>409</v>
      </c>
      <c r="P860" s="338" t="s">
        <v>443</v>
      </c>
    </row>
    <row r="861" spans="2:16" x14ac:dyDescent="0.25">
      <c r="B861" s="336" t="s">
        <v>416</v>
      </c>
      <c r="C861" s="337">
        <v>41156</v>
      </c>
      <c r="D861" s="338" t="s">
        <v>3436</v>
      </c>
      <c r="E861" s="338" t="s">
        <v>7285</v>
      </c>
      <c r="F861" s="338" t="s">
        <v>3060</v>
      </c>
      <c r="G861" s="338" t="s">
        <v>413</v>
      </c>
      <c r="H861" s="338" t="s">
        <v>425</v>
      </c>
      <c r="I861" s="338" t="s">
        <v>411</v>
      </c>
      <c r="J861" s="339">
        <v>1.0564800000000001</v>
      </c>
      <c r="K861" s="339">
        <v>1.6145499999999999</v>
      </c>
      <c r="L861" s="339"/>
      <c r="M861" s="339"/>
      <c r="N861" s="338" t="s">
        <v>432</v>
      </c>
      <c r="O861" s="338" t="s">
        <v>443</v>
      </c>
      <c r="P861" s="338"/>
    </row>
    <row r="862" spans="2:16" x14ac:dyDescent="0.25">
      <c r="B862" s="336" t="s">
        <v>416</v>
      </c>
      <c r="C862" s="337">
        <v>41151</v>
      </c>
      <c r="D862" s="338" t="s">
        <v>7284</v>
      </c>
      <c r="E862" s="338" t="s">
        <v>7283</v>
      </c>
      <c r="F862" s="338"/>
      <c r="G862" s="338">
        <v>246.6</v>
      </c>
      <c r="H862" s="338" t="s">
        <v>780</v>
      </c>
      <c r="I862" s="338" t="s">
        <v>411</v>
      </c>
      <c r="J862" s="339"/>
      <c r="K862" s="339"/>
      <c r="L862" s="339" t="s">
        <v>409</v>
      </c>
      <c r="M862" s="339" t="s">
        <v>409</v>
      </c>
      <c r="N862" s="338" t="s">
        <v>417</v>
      </c>
      <c r="O862" s="338" t="s">
        <v>409</v>
      </c>
      <c r="P862" s="338" t="s">
        <v>417</v>
      </c>
    </row>
    <row r="863" spans="2:16" x14ac:dyDescent="0.25">
      <c r="B863" s="336" t="s">
        <v>416</v>
      </c>
      <c r="C863" s="337">
        <v>41151</v>
      </c>
      <c r="D863" s="338" t="s">
        <v>4816</v>
      </c>
      <c r="E863" s="338" t="s">
        <v>939</v>
      </c>
      <c r="F863" s="338"/>
      <c r="G863" s="338">
        <v>800</v>
      </c>
      <c r="H863" s="338" t="s">
        <v>425</v>
      </c>
      <c r="I863" s="338" t="s">
        <v>411</v>
      </c>
      <c r="J863" s="339"/>
      <c r="K863" s="339"/>
      <c r="L863" s="339" t="s">
        <v>409</v>
      </c>
      <c r="M863" s="339" t="s">
        <v>409</v>
      </c>
      <c r="N863" s="338" t="s">
        <v>417</v>
      </c>
      <c r="O863" s="338" t="s">
        <v>409</v>
      </c>
      <c r="P863" s="338"/>
    </row>
    <row r="864" spans="2:16" x14ac:dyDescent="0.25">
      <c r="B864" s="336" t="s">
        <v>416</v>
      </c>
      <c r="C864" s="337">
        <v>41150</v>
      </c>
      <c r="D864" s="338" t="s">
        <v>7282</v>
      </c>
      <c r="E864" s="338" t="s">
        <v>7281</v>
      </c>
      <c r="F864" s="338"/>
      <c r="G864" s="338" t="s">
        <v>413</v>
      </c>
      <c r="H864" s="338" t="s">
        <v>425</v>
      </c>
      <c r="I864" s="338" t="s">
        <v>411</v>
      </c>
      <c r="J864" s="339"/>
      <c r="K864" s="339"/>
      <c r="L864" s="339" t="s">
        <v>409</v>
      </c>
      <c r="M864" s="339" t="s">
        <v>409</v>
      </c>
      <c r="N864" s="338"/>
      <c r="O864" s="338" t="s">
        <v>409</v>
      </c>
      <c r="P864" s="338" t="s">
        <v>417</v>
      </c>
    </row>
    <row r="865" spans="2:16" x14ac:dyDescent="0.25">
      <c r="B865" s="336" t="s">
        <v>416</v>
      </c>
      <c r="C865" s="337">
        <v>41150</v>
      </c>
      <c r="D865" s="338" t="s">
        <v>7280</v>
      </c>
      <c r="E865" s="338" t="s">
        <v>1933</v>
      </c>
      <c r="F865" s="338"/>
      <c r="G865" s="338" t="s">
        <v>413</v>
      </c>
      <c r="H865" s="338" t="s">
        <v>412</v>
      </c>
      <c r="I865" s="338" t="s">
        <v>411</v>
      </c>
      <c r="J865" s="339"/>
      <c r="K865" s="339"/>
      <c r="L865" s="339" t="s">
        <v>409</v>
      </c>
      <c r="M865" s="339" t="s">
        <v>409</v>
      </c>
      <c r="N865" s="338" t="s">
        <v>417</v>
      </c>
      <c r="O865" s="338" t="s">
        <v>409</v>
      </c>
      <c r="P865" s="338"/>
    </row>
    <row r="866" spans="2:16" x14ac:dyDescent="0.25">
      <c r="B866" s="336" t="s">
        <v>416</v>
      </c>
      <c r="C866" s="337">
        <v>41150</v>
      </c>
      <c r="D866" s="338" t="s">
        <v>7279</v>
      </c>
      <c r="E866" s="338" t="s">
        <v>7278</v>
      </c>
      <c r="F866" s="338"/>
      <c r="G866" s="338" t="s">
        <v>413</v>
      </c>
      <c r="H866" s="338" t="s">
        <v>336</v>
      </c>
      <c r="I866" s="338" t="s">
        <v>411</v>
      </c>
      <c r="J866" s="339"/>
      <c r="K866" s="339"/>
      <c r="L866" s="339" t="s">
        <v>409</v>
      </c>
      <c r="M866" s="339" t="s">
        <v>409</v>
      </c>
      <c r="N866" s="338" t="s">
        <v>410</v>
      </c>
      <c r="O866" s="338" t="s">
        <v>409</v>
      </c>
      <c r="P866" s="338" t="s">
        <v>417</v>
      </c>
    </row>
    <row r="867" spans="2:16" x14ac:dyDescent="0.25">
      <c r="B867" s="336" t="s">
        <v>416</v>
      </c>
      <c r="C867" s="337">
        <v>41150</v>
      </c>
      <c r="D867" s="338" t="s">
        <v>7277</v>
      </c>
      <c r="E867" s="338" t="s">
        <v>7276</v>
      </c>
      <c r="F867" s="338" t="s">
        <v>7275</v>
      </c>
      <c r="G867" s="338" t="s">
        <v>413</v>
      </c>
      <c r="H867" s="338" t="s">
        <v>412</v>
      </c>
      <c r="I867" s="338" t="s">
        <v>411</v>
      </c>
      <c r="J867" s="339"/>
      <c r="K867" s="339"/>
      <c r="L867" s="339"/>
      <c r="M867" s="339"/>
      <c r="N867" s="338" t="s">
        <v>605</v>
      </c>
      <c r="O867" s="338" t="s">
        <v>417</v>
      </c>
      <c r="P867" s="338" t="s">
        <v>417</v>
      </c>
    </row>
    <row r="868" spans="2:16" x14ac:dyDescent="0.25">
      <c r="B868" s="336" t="s">
        <v>459</v>
      </c>
      <c r="C868" s="337">
        <v>41149</v>
      </c>
      <c r="D868" s="338" t="s">
        <v>7274</v>
      </c>
      <c r="E868" s="338" t="s">
        <v>7273</v>
      </c>
      <c r="F868" s="338"/>
      <c r="G868" s="338" t="s">
        <v>413</v>
      </c>
      <c r="H868" s="338" t="s">
        <v>412</v>
      </c>
      <c r="I868" s="338" t="s">
        <v>411</v>
      </c>
      <c r="J868" s="339"/>
      <c r="K868" s="339"/>
      <c r="L868" s="339" t="s">
        <v>409</v>
      </c>
      <c r="M868" s="339" t="s">
        <v>409</v>
      </c>
      <c r="N868" s="338" t="s">
        <v>417</v>
      </c>
      <c r="O868" s="338" t="s">
        <v>409</v>
      </c>
      <c r="P868" s="338" t="s">
        <v>432</v>
      </c>
    </row>
    <row r="869" spans="2:16" x14ac:dyDescent="0.25">
      <c r="B869" s="336" t="s">
        <v>459</v>
      </c>
      <c r="C869" s="337">
        <v>41149</v>
      </c>
      <c r="D869" s="338" t="s">
        <v>7272</v>
      </c>
      <c r="E869" s="338" t="s">
        <v>1219</v>
      </c>
      <c r="F869" s="338" t="s">
        <v>2046</v>
      </c>
      <c r="G869" s="338" t="s">
        <v>413</v>
      </c>
      <c r="H869" s="338" t="s">
        <v>425</v>
      </c>
      <c r="I869" s="338" t="s">
        <v>411</v>
      </c>
      <c r="J869" s="339"/>
      <c r="K869" s="339"/>
      <c r="L869" s="339"/>
      <c r="M869" s="339"/>
      <c r="N869" s="338" t="s">
        <v>417</v>
      </c>
      <c r="O869" s="338" t="s">
        <v>443</v>
      </c>
      <c r="P869" s="338" t="s">
        <v>443</v>
      </c>
    </row>
    <row r="870" spans="2:16" x14ac:dyDescent="0.25">
      <c r="B870" s="336" t="s">
        <v>416</v>
      </c>
      <c r="C870" s="337">
        <v>41149</v>
      </c>
      <c r="D870" s="338" t="s">
        <v>7271</v>
      </c>
      <c r="E870" s="338" t="s">
        <v>2364</v>
      </c>
      <c r="F870" s="338"/>
      <c r="G870" s="338">
        <v>1100</v>
      </c>
      <c r="H870" s="338" t="s">
        <v>425</v>
      </c>
      <c r="I870" s="338" t="s">
        <v>411</v>
      </c>
      <c r="J870" s="339">
        <v>1.50518</v>
      </c>
      <c r="K870" s="339"/>
      <c r="L870" s="339" t="s">
        <v>409</v>
      </c>
      <c r="M870" s="339" t="s">
        <v>409</v>
      </c>
      <c r="N870" s="338" t="s">
        <v>417</v>
      </c>
      <c r="O870" s="338" t="s">
        <v>409</v>
      </c>
      <c r="P870" s="338" t="s">
        <v>443</v>
      </c>
    </row>
    <row r="871" spans="2:16" x14ac:dyDescent="0.25">
      <c r="B871" s="336" t="s">
        <v>416</v>
      </c>
      <c r="C871" s="337">
        <v>41148</v>
      </c>
      <c r="D871" s="338" t="s">
        <v>7270</v>
      </c>
      <c r="E871" s="338" t="s">
        <v>7269</v>
      </c>
      <c r="F871" s="338"/>
      <c r="G871" s="338">
        <v>4.6900000000000004</v>
      </c>
      <c r="H871" s="338" t="s">
        <v>336</v>
      </c>
      <c r="I871" s="338" t="s">
        <v>411</v>
      </c>
      <c r="J871" s="339"/>
      <c r="K871" s="339"/>
      <c r="L871" s="339" t="s">
        <v>409</v>
      </c>
      <c r="M871" s="339" t="s">
        <v>409</v>
      </c>
      <c r="N871" s="338" t="s">
        <v>410</v>
      </c>
      <c r="O871" s="338" t="s">
        <v>409</v>
      </c>
      <c r="P871" s="338" t="s">
        <v>410</v>
      </c>
    </row>
    <row r="872" spans="2:16" x14ac:dyDescent="0.25">
      <c r="B872" s="336" t="s">
        <v>416</v>
      </c>
      <c r="C872" s="337">
        <v>41148</v>
      </c>
      <c r="D872" s="338" t="s">
        <v>7268</v>
      </c>
      <c r="E872" s="338" t="s">
        <v>4838</v>
      </c>
      <c r="F872" s="338" t="s">
        <v>7267</v>
      </c>
      <c r="G872" s="338" t="s">
        <v>413</v>
      </c>
      <c r="H872" s="338" t="s">
        <v>425</v>
      </c>
      <c r="I872" s="338" t="s">
        <v>411</v>
      </c>
      <c r="J872" s="339"/>
      <c r="K872" s="339"/>
      <c r="L872" s="339"/>
      <c r="M872" s="339"/>
      <c r="N872" s="338"/>
      <c r="O872" s="338" t="s">
        <v>417</v>
      </c>
      <c r="P872" s="338" t="s">
        <v>417</v>
      </c>
    </row>
    <row r="873" spans="2:16" x14ac:dyDescent="0.25">
      <c r="B873" s="336" t="s">
        <v>416</v>
      </c>
      <c r="C873" s="337">
        <v>41148</v>
      </c>
      <c r="D873" s="338" t="s">
        <v>7266</v>
      </c>
      <c r="E873" s="338" t="s">
        <v>598</v>
      </c>
      <c r="F873" s="338"/>
      <c r="G873" s="338" t="s">
        <v>413</v>
      </c>
      <c r="H873" s="338" t="s">
        <v>425</v>
      </c>
      <c r="I873" s="338" t="s">
        <v>411</v>
      </c>
      <c r="J873" s="339"/>
      <c r="K873" s="339"/>
      <c r="L873" s="339" t="s">
        <v>409</v>
      </c>
      <c r="M873" s="339" t="s">
        <v>409</v>
      </c>
      <c r="N873" s="338"/>
      <c r="O873" s="338" t="s">
        <v>409</v>
      </c>
      <c r="P873" s="338" t="s">
        <v>417</v>
      </c>
    </row>
    <row r="874" spans="2:16" x14ac:dyDescent="0.25">
      <c r="B874" s="336" t="s">
        <v>459</v>
      </c>
      <c r="C874" s="337">
        <v>41144</v>
      </c>
      <c r="D874" s="338" t="s">
        <v>7265</v>
      </c>
      <c r="E874" s="338" t="s">
        <v>1211</v>
      </c>
      <c r="F874" s="338"/>
      <c r="G874" s="338" t="s">
        <v>413</v>
      </c>
      <c r="H874" s="338" t="s">
        <v>412</v>
      </c>
      <c r="I874" s="338" t="s">
        <v>411</v>
      </c>
      <c r="J874" s="339"/>
      <c r="K874" s="339"/>
      <c r="L874" s="339" t="s">
        <v>409</v>
      </c>
      <c r="M874" s="339" t="s">
        <v>409</v>
      </c>
      <c r="N874" s="338" t="s">
        <v>417</v>
      </c>
      <c r="O874" s="338" t="s">
        <v>409</v>
      </c>
      <c r="P874" s="338" t="s">
        <v>417</v>
      </c>
    </row>
    <row r="875" spans="2:16" x14ac:dyDescent="0.25">
      <c r="B875" s="336" t="s">
        <v>416</v>
      </c>
      <c r="C875" s="337">
        <v>41144</v>
      </c>
      <c r="D875" s="338" t="s">
        <v>7264</v>
      </c>
      <c r="E875" s="338" t="s">
        <v>7263</v>
      </c>
      <c r="F875" s="338"/>
      <c r="G875" s="338" t="s">
        <v>413</v>
      </c>
      <c r="H875" s="338" t="s">
        <v>412</v>
      </c>
      <c r="I875" s="338" t="s">
        <v>411</v>
      </c>
      <c r="J875" s="339"/>
      <c r="K875" s="339"/>
      <c r="L875" s="339" t="s">
        <v>409</v>
      </c>
      <c r="M875" s="339" t="s">
        <v>409</v>
      </c>
      <c r="N875" s="338" t="s">
        <v>417</v>
      </c>
      <c r="O875" s="338" t="s">
        <v>409</v>
      </c>
      <c r="P875" s="338" t="s">
        <v>410</v>
      </c>
    </row>
    <row r="876" spans="2:16" x14ac:dyDescent="0.25">
      <c r="B876" s="336" t="s">
        <v>459</v>
      </c>
      <c r="C876" s="337">
        <v>41143</v>
      </c>
      <c r="D876" s="338" t="s">
        <v>7247</v>
      </c>
      <c r="E876" s="338" t="s">
        <v>7262</v>
      </c>
      <c r="F876" s="338"/>
      <c r="G876" s="338">
        <v>0.5</v>
      </c>
      <c r="H876" s="338" t="s">
        <v>425</v>
      </c>
      <c r="I876" s="338" t="s">
        <v>411</v>
      </c>
      <c r="J876" s="339"/>
      <c r="K876" s="339"/>
      <c r="L876" s="339" t="s">
        <v>409</v>
      </c>
      <c r="M876" s="339" t="s">
        <v>409</v>
      </c>
      <c r="N876" s="338" t="s">
        <v>417</v>
      </c>
      <c r="O876" s="338" t="s">
        <v>409</v>
      </c>
      <c r="P876" s="338" t="s">
        <v>417</v>
      </c>
    </row>
    <row r="877" spans="2:16" x14ac:dyDescent="0.25">
      <c r="B877" s="336" t="s">
        <v>459</v>
      </c>
      <c r="C877" s="337">
        <v>41143</v>
      </c>
      <c r="D877" s="338" t="s">
        <v>5661</v>
      </c>
      <c r="E877" s="338" t="s">
        <v>7261</v>
      </c>
      <c r="F877" s="338"/>
      <c r="G877" s="338">
        <v>7.75</v>
      </c>
      <c r="H877" s="338" t="s">
        <v>425</v>
      </c>
      <c r="I877" s="338" t="s">
        <v>411</v>
      </c>
      <c r="J877" s="339"/>
      <c r="K877" s="339"/>
      <c r="L877" s="339" t="s">
        <v>409</v>
      </c>
      <c r="M877" s="339" t="s">
        <v>409</v>
      </c>
      <c r="N877" s="338" t="s">
        <v>417</v>
      </c>
      <c r="O877" s="338" t="s">
        <v>409</v>
      </c>
      <c r="P877" s="338"/>
    </row>
    <row r="878" spans="2:16" x14ac:dyDescent="0.25">
      <c r="B878" s="336" t="s">
        <v>416</v>
      </c>
      <c r="C878" s="337">
        <v>41143</v>
      </c>
      <c r="D878" s="338" t="s">
        <v>7260</v>
      </c>
      <c r="E878" s="338" t="s">
        <v>5107</v>
      </c>
      <c r="F878" s="338" t="s">
        <v>3347</v>
      </c>
      <c r="G878" s="338">
        <v>14.7</v>
      </c>
      <c r="H878" s="338" t="s">
        <v>425</v>
      </c>
      <c r="I878" s="338" t="s">
        <v>411</v>
      </c>
      <c r="J878" s="339"/>
      <c r="K878" s="339"/>
      <c r="L878" s="339">
        <v>2.1170900000000001</v>
      </c>
      <c r="M878" s="339">
        <v>14.1816</v>
      </c>
      <c r="N878" s="338"/>
      <c r="O878" s="338" t="s">
        <v>417</v>
      </c>
      <c r="P878" s="338" t="s">
        <v>417</v>
      </c>
    </row>
    <row r="879" spans="2:16" x14ac:dyDescent="0.25">
      <c r="B879" s="336" t="s">
        <v>416</v>
      </c>
      <c r="C879" s="337">
        <v>41142</v>
      </c>
      <c r="D879" s="338" t="s">
        <v>7259</v>
      </c>
      <c r="E879" s="338" t="s">
        <v>6291</v>
      </c>
      <c r="F879" s="338"/>
      <c r="G879" s="338" t="s">
        <v>413</v>
      </c>
      <c r="H879" s="338" t="s">
        <v>412</v>
      </c>
      <c r="I879" s="338" t="s">
        <v>411</v>
      </c>
      <c r="J879" s="339"/>
      <c r="K879" s="339"/>
      <c r="L879" s="339" t="s">
        <v>409</v>
      </c>
      <c r="M879" s="339" t="s">
        <v>409</v>
      </c>
      <c r="N879" s="338" t="s">
        <v>417</v>
      </c>
      <c r="O879" s="338" t="s">
        <v>409</v>
      </c>
      <c r="P879" s="338" t="s">
        <v>410</v>
      </c>
    </row>
    <row r="880" spans="2:16" x14ac:dyDescent="0.25">
      <c r="B880" s="336" t="s">
        <v>416</v>
      </c>
      <c r="C880" s="337">
        <v>41142</v>
      </c>
      <c r="D880" s="338" t="s">
        <v>7258</v>
      </c>
      <c r="E880" s="338" t="s">
        <v>7257</v>
      </c>
      <c r="F880" s="338" t="s">
        <v>825</v>
      </c>
      <c r="G880" s="338" t="s">
        <v>413</v>
      </c>
      <c r="H880" s="338" t="s">
        <v>412</v>
      </c>
      <c r="I880" s="338" t="s">
        <v>411</v>
      </c>
      <c r="J880" s="339"/>
      <c r="K880" s="339"/>
      <c r="L880" s="339">
        <v>0.56813100000000005</v>
      </c>
      <c r="M880" s="339">
        <v>6.6396199999999999</v>
      </c>
      <c r="N880" s="338" t="s">
        <v>410</v>
      </c>
      <c r="O880" s="338" t="s">
        <v>417</v>
      </c>
      <c r="P880" s="338" t="s">
        <v>410</v>
      </c>
    </row>
    <row r="881" spans="2:16" x14ac:dyDescent="0.25">
      <c r="B881" s="336" t="s">
        <v>459</v>
      </c>
      <c r="C881" s="337">
        <v>41141</v>
      </c>
      <c r="D881" s="338" t="s">
        <v>7256</v>
      </c>
      <c r="E881" s="338" t="s">
        <v>7255</v>
      </c>
      <c r="F881" s="338"/>
      <c r="G881" s="338" t="s">
        <v>413</v>
      </c>
      <c r="H881" s="338" t="s">
        <v>412</v>
      </c>
      <c r="I881" s="338" t="s">
        <v>411</v>
      </c>
      <c r="J881" s="339"/>
      <c r="K881" s="339"/>
      <c r="L881" s="339" t="s">
        <v>409</v>
      </c>
      <c r="M881" s="339" t="s">
        <v>409</v>
      </c>
      <c r="N881" s="338" t="s">
        <v>417</v>
      </c>
      <c r="O881" s="338" t="s">
        <v>409</v>
      </c>
      <c r="P881" s="338" t="s">
        <v>432</v>
      </c>
    </row>
    <row r="882" spans="2:16" x14ac:dyDescent="0.25">
      <c r="B882" s="336" t="s">
        <v>416</v>
      </c>
      <c r="C882" s="337">
        <v>41141</v>
      </c>
      <c r="D882" s="338" t="s">
        <v>3488</v>
      </c>
      <c r="E882" s="338" t="s">
        <v>1529</v>
      </c>
      <c r="F882" s="338" t="s">
        <v>7254</v>
      </c>
      <c r="G882" s="338" t="s">
        <v>413</v>
      </c>
      <c r="H882" s="338" t="s">
        <v>425</v>
      </c>
      <c r="I882" s="338" t="s">
        <v>411</v>
      </c>
      <c r="J882" s="339"/>
      <c r="K882" s="339"/>
      <c r="L882" s="339"/>
      <c r="M882" s="339"/>
      <c r="N882" s="338"/>
      <c r="O882" s="338" t="s">
        <v>410</v>
      </c>
      <c r="P882" s="338" t="s">
        <v>410</v>
      </c>
    </row>
    <row r="883" spans="2:16" x14ac:dyDescent="0.25">
      <c r="B883" s="336" t="s">
        <v>416</v>
      </c>
      <c r="C883" s="337">
        <v>41141</v>
      </c>
      <c r="D883" s="338" t="s">
        <v>3488</v>
      </c>
      <c r="E883" s="338" t="s">
        <v>485</v>
      </c>
      <c r="F883" s="338"/>
      <c r="G883" s="338">
        <v>3</v>
      </c>
      <c r="H883" s="338" t="s">
        <v>418</v>
      </c>
      <c r="I883" s="338" t="s">
        <v>411</v>
      </c>
      <c r="J883" s="339"/>
      <c r="K883" s="339"/>
      <c r="L883" s="339" t="s">
        <v>409</v>
      </c>
      <c r="M883" s="339" t="s">
        <v>409</v>
      </c>
      <c r="N883" s="338"/>
      <c r="O883" s="338" t="s">
        <v>409</v>
      </c>
      <c r="P883" s="338" t="s">
        <v>417</v>
      </c>
    </row>
    <row r="884" spans="2:16" x14ac:dyDescent="0.25">
      <c r="B884" s="336" t="s">
        <v>541</v>
      </c>
      <c r="C884" s="337">
        <v>41138</v>
      </c>
      <c r="D884" s="338" t="s">
        <v>2473</v>
      </c>
      <c r="E884" s="338" t="s">
        <v>539</v>
      </c>
      <c r="F884" s="338" t="s">
        <v>656</v>
      </c>
      <c r="G884" s="338">
        <v>517.03</v>
      </c>
      <c r="H884" s="338"/>
      <c r="I884" s="338" t="s">
        <v>411</v>
      </c>
      <c r="J884" s="339">
        <v>2.3037399999999999</v>
      </c>
      <c r="K884" s="339">
        <v>12.789199999999999</v>
      </c>
      <c r="L884" s="339">
        <v>2.5786799999999999</v>
      </c>
      <c r="M884" s="339">
        <v>19.2026</v>
      </c>
      <c r="N884" s="338" t="s">
        <v>408</v>
      </c>
      <c r="O884" s="338" t="s">
        <v>408</v>
      </c>
      <c r="P884" s="338" t="s">
        <v>409</v>
      </c>
    </row>
    <row r="885" spans="2:16" x14ac:dyDescent="0.25">
      <c r="B885" s="336" t="s">
        <v>416</v>
      </c>
      <c r="C885" s="337">
        <v>41137</v>
      </c>
      <c r="D885" s="338" t="s">
        <v>7253</v>
      </c>
      <c r="E885" s="338" t="s">
        <v>2557</v>
      </c>
      <c r="F885" s="338"/>
      <c r="G885" s="338">
        <v>46</v>
      </c>
      <c r="H885" s="338" t="s">
        <v>418</v>
      </c>
      <c r="I885" s="338" t="s">
        <v>411</v>
      </c>
      <c r="J885" s="339"/>
      <c r="K885" s="339"/>
      <c r="L885" s="339" t="s">
        <v>409</v>
      </c>
      <c r="M885" s="339" t="s">
        <v>409</v>
      </c>
      <c r="N885" s="338"/>
      <c r="O885" s="338" t="s">
        <v>409</v>
      </c>
      <c r="P885" s="338" t="s">
        <v>417</v>
      </c>
    </row>
    <row r="886" spans="2:16" x14ac:dyDescent="0.25">
      <c r="B886" s="336" t="s">
        <v>416</v>
      </c>
      <c r="C886" s="337">
        <v>41137</v>
      </c>
      <c r="D886" s="338" t="s">
        <v>7252</v>
      </c>
      <c r="E886" s="338" t="s">
        <v>505</v>
      </c>
      <c r="F886" s="338"/>
      <c r="G886" s="338" t="s">
        <v>413</v>
      </c>
      <c r="H886" s="338" t="s">
        <v>412</v>
      </c>
      <c r="I886" s="338" t="s">
        <v>411</v>
      </c>
      <c r="J886" s="339"/>
      <c r="K886" s="339"/>
      <c r="L886" s="339" t="s">
        <v>409</v>
      </c>
      <c r="M886" s="339" t="s">
        <v>409</v>
      </c>
      <c r="N886" s="338" t="s">
        <v>432</v>
      </c>
      <c r="O886" s="338" t="s">
        <v>409</v>
      </c>
      <c r="P886" s="338" t="s">
        <v>432</v>
      </c>
    </row>
    <row r="887" spans="2:16" x14ac:dyDescent="0.25">
      <c r="B887" s="336" t="s">
        <v>416</v>
      </c>
      <c r="C887" s="337">
        <v>41137</v>
      </c>
      <c r="D887" s="338" t="s">
        <v>7251</v>
      </c>
      <c r="E887" s="338" t="s">
        <v>7250</v>
      </c>
      <c r="F887" s="338"/>
      <c r="G887" s="338" t="s">
        <v>413</v>
      </c>
      <c r="H887" s="338" t="s">
        <v>412</v>
      </c>
      <c r="I887" s="338" t="s">
        <v>411</v>
      </c>
      <c r="J887" s="339"/>
      <c r="K887" s="339"/>
      <c r="L887" s="339" t="s">
        <v>409</v>
      </c>
      <c r="M887" s="339" t="s">
        <v>409</v>
      </c>
      <c r="N887" s="338" t="s">
        <v>417</v>
      </c>
      <c r="O887" s="338" t="s">
        <v>409</v>
      </c>
      <c r="P887" s="338" t="s">
        <v>487</v>
      </c>
    </row>
    <row r="888" spans="2:16" x14ac:dyDescent="0.25">
      <c r="B888" s="336" t="s">
        <v>459</v>
      </c>
      <c r="C888" s="337">
        <v>41136</v>
      </c>
      <c r="D888" s="338" t="s">
        <v>7249</v>
      </c>
      <c r="E888" s="338" t="s">
        <v>7248</v>
      </c>
      <c r="F888" s="338"/>
      <c r="G888" s="338">
        <v>18.899999999999999</v>
      </c>
      <c r="H888" s="338" t="s">
        <v>425</v>
      </c>
      <c r="I888" s="338" t="s">
        <v>411</v>
      </c>
      <c r="J888" s="339"/>
      <c r="K888" s="339"/>
      <c r="L888" s="339" t="s">
        <v>409</v>
      </c>
      <c r="M888" s="339" t="s">
        <v>409</v>
      </c>
      <c r="N888" s="338" t="s">
        <v>417</v>
      </c>
      <c r="O888" s="338" t="s">
        <v>409</v>
      </c>
      <c r="P888" s="338"/>
    </row>
    <row r="889" spans="2:16" x14ac:dyDescent="0.25">
      <c r="B889" s="336" t="s">
        <v>459</v>
      </c>
      <c r="C889" s="337">
        <v>41136</v>
      </c>
      <c r="D889" s="338" t="s">
        <v>7247</v>
      </c>
      <c r="E889" s="338" t="s">
        <v>514</v>
      </c>
      <c r="F889" s="338" t="s">
        <v>7247</v>
      </c>
      <c r="G889" s="338">
        <v>0.5</v>
      </c>
      <c r="H889" s="338" t="s">
        <v>425</v>
      </c>
      <c r="I889" s="338" t="s">
        <v>411</v>
      </c>
      <c r="J889" s="339"/>
      <c r="K889" s="339"/>
      <c r="L889" s="339"/>
      <c r="M889" s="339"/>
      <c r="N889" s="338" t="s">
        <v>417</v>
      </c>
      <c r="O889" s="338" t="s">
        <v>417</v>
      </c>
      <c r="P889" s="338"/>
    </row>
    <row r="890" spans="2:16" x14ac:dyDescent="0.25">
      <c r="B890" s="336" t="s">
        <v>416</v>
      </c>
      <c r="C890" s="337">
        <v>41135</v>
      </c>
      <c r="D890" s="338" t="s">
        <v>7246</v>
      </c>
      <c r="E890" s="338" t="s">
        <v>6596</v>
      </c>
      <c r="F890" s="338"/>
      <c r="G890" s="338" t="s">
        <v>413</v>
      </c>
      <c r="H890" s="338" t="s">
        <v>412</v>
      </c>
      <c r="I890" s="338" t="s">
        <v>411</v>
      </c>
      <c r="J890" s="339"/>
      <c r="K890" s="339"/>
      <c r="L890" s="339" t="s">
        <v>409</v>
      </c>
      <c r="M890" s="339" t="s">
        <v>409</v>
      </c>
      <c r="N890" s="338" t="s">
        <v>417</v>
      </c>
      <c r="O890" s="338" t="s">
        <v>409</v>
      </c>
      <c r="P890" s="338" t="s">
        <v>417</v>
      </c>
    </row>
    <row r="891" spans="2:16" x14ac:dyDescent="0.25">
      <c r="B891" s="336" t="s">
        <v>416</v>
      </c>
      <c r="C891" s="337">
        <v>41135</v>
      </c>
      <c r="D891" s="338" t="s">
        <v>7245</v>
      </c>
      <c r="E891" s="338" t="s">
        <v>1529</v>
      </c>
      <c r="F891" s="338" t="s">
        <v>7244</v>
      </c>
      <c r="G891" s="338" t="s">
        <v>413</v>
      </c>
      <c r="H891" s="338" t="s">
        <v>425</v>
      </c>
      <c r="I891" s="338" t="s">
        <v>411</v>
      </c>
      <c r="J891" s="339"/>
      <c r="K891" s="339"/>
      <c r="L891" s="339"/>
      <c r="M891" s="339"/>
      <c r="N891" s="338"/>
      <c r="O891" s="338" t="s">
        <v>417</v>
      </c>
      <c r="P891" s="338" t="s">
        <v>410</v>
      </c>
    </row>
    <row r="892" spans="2:16" x14ac:dyDescent="0.25">
      <c r="B892" s="336" t="s">
        <v>416</v>
      </c>
      <c r="C892" s="337">
        <v>41135</v>
      </c>
      <c r="D892" s="338" t="s">
        <v>7243</v>
      </c>
      <c r="E892" s="338" t="s">
        <v>7242</v>
      </c>
      <c r="F892" s="338" t="s">
        <v>7241</v>
      </c>
      <c r="G892" s="338">
        <v>50</v>
      </c>
      <c r="H892" s="338" t="s">
        <v>425</v>
      </c>
      <c r="I892" s="338" t="s">
        <v>411</v>
      </c>
      <c r="J892" s="339"/>
      <c r="K892" s="339"/>
      <c r="L892" s="339"/>
      <c r="M892" s="339"/>
      <c r="N892" s="338"/>
      <c r="O892" s="338" t="s">
        <v>410</v>
      </c>
      <c r="P892" s="338" t="s">
        <v>417</v>
      </c>
    </row>
    <row r="893" spans="2:16" x14ac:dyDescent="0.25">
      <c r="B893" s="336" t="s">
        <v>416</v>
      </c>
      <c r="C893" s="337">
        <v>41135</v>
      </c>
      <c r="D893" s="338" t="s">
        <v>7240</v>
      </c>
      <c r="E893" s="338" t="s">
        <v>441</v>
      </c>
      <c r="F893" s="338" t="s">
        <v>7239</v>
      </c>
      <c r="G893" s="338" t="s">
        <v>413</v>
      </c>
      <c r="H893" s="338" t="s">
        <v>425</v>
      </c>
      <c r="I893" s="338" t="s">
        <v>411</v>
      </c>
      <c r="J893" s="339"/>
      <c r="K893" s="339"/>
      <c r="L893" s="339"/>
      <c r="M893" s="339"/>
      <c r="N893" s="338"/>
      <c r="O893" s="338" t="s">
        <v>417</v>
      </c>
      <c r="P893" s="338" t="s">
        <v>417</v>
      </c>
    </row>
    <row r="894" spans="2:16" x14ac:dyDescent="0.25">
      <c r="B894" s="336" t="s">
        <v>416</v>
      </c>
      <c r="C894" s="337">
        <v>41134</v>
      </c>
      <c r="D894" s="338" t="s">
        <v>7238</v>
      </c>
      <c r="E894" s="338" t="s">
        <v>5084</v>
      </c>
      <c r="F894" s="338"/>
      <c r="G894" s="338" t="s">
        <v>413</v>
      </c>
      <c r="H894" s="338" t="s">
        <v>412</v>
      </c>
      <c r="I894" s="338" t="s">
        <v>411</v>
      </c>
      <c r="J894" s="339"/>
      <c r="K894" s="339"/>
      <c r="L894" s="339" t="s">
        <v>409</v>
      </c>
      <c r="M894" s="339" t="s">
        <v>409</v>
      </c>
      <c r="N894" s="338" t="s">
        <v>410</v>
      </c>
      <c r="O894" s="338" t="s">
        <v>409</v>
      </c>
      <c r="P894" s="338" t="s">
        <v>417</v>
      </c>
    </row>
    <row r="895" spans="2:16" x14ac:dyDescent="0.25">
      <c r="B895" s="336" t="s">
        <v>416</v>
      </c>
      <c r="C895" s="337">
        <v>41131</v>
      </c>
      <c r="D895" s="338" t="s">
        <v>7237</v>
      </c>
      <c r="E895" s="338" t="s">
        <v>3774</v>
      </c>
      <c r="F895" s="338" t="s">
        <v>7236</v>
      </c>
      <c r="G895" s="338" t="s">
        <v>413</v>
      </c>
      <c r="H895" s="338" t="s">
        <v>425</v>
      </c>
      <c r="I895" s="338" t="s">
        <v>411</v>
      </c>
      <c r="J895" s="339"/>
      <c r="K895" s="339"/>
      <c r="L895" s="339">
        <v>2.1912799999999999</v>
      </c>
      <c r="M895" s="339">
        <v>8.8096399999999999</v>
      </c>
      <c r="N895" s="338"/>
      <c r="O895" s="338" t="s">
        <v>605</v>
      </c>
      <c r="P895" s="338" t="s">
        <v>417</v>
      </c>
    </row>
    <row r="896" spans="2:16" x14ac:dyDescent="0.25">
      <c r="B896" s="336" t="s">
        <v>459</v>
      </c>
      <c r="C896" s="337">
        <v>41130</v>
      </c>
      <c r="D896" s="338" t="s">
        <v>7235</v>
      </c>
      <c r="E896" s="338" t="s">
        <v>4977</v>
      </c>
      <c r="F896" s="338"/>
      <c r="G896" s="338">
        <v>10</v>
      </c>
      <c r="H896" s="338" t="s">
        <v>425</v>
      </c>
      <c r="I896" s="338" t="s">
        <v>411</v>
      </c>
      <c r="J896" s="339"/>
      <c r="K896" s="339"/>
      <c r="L896" s="339" t="s">
        <v>409</v>
      </c>
      <c r="M896" s="339" t="s">
        <v>409</v>
      </c>
      <c r="N896" s="338" t="s">
        <v>417</v>
      </c>
      <c r="O896" s="338" t="s">
        <v>409</v>
      </c>
      <c r="P896" s="338" t="s">
        <v>443</v>
      </c>
    </row>
    <row r="897" spans="2:16" x14ac:dyDescent="0.25">
      <c r="B897" s="336" t="s">
        <v>416</v>
      </c>
      <c r="C897" s="337">
        <v>41130</v>
      </c>
      <c r="D897" s="338" t="s">
        <v>7234</v>
      </c>
      <c r="E897" s="338" t="s">
        <v>6706</v>
      </c>
      <c r="F897" s="338"/>
      <c r="G897" s="338" t="s">
        <v>413</v>
      </c>
      <c r="H897" s="338" t="s">
        <v>412</v>
      </c>
      <c r="I897" s="338" t="s">
        <v>411</v>
      </c>
      <c r="J897" s="339"/>
      <c r="K897" s="339"/>
      <c r="L897" s="339" t="s">
        <v>409</v>
      </c>
      <c r="M897" s="339" t="s">
        <v>409</v>
      </c>
      <c r="N897" s="338" t="s">
        <v>417</v>
      </c>
      <c r="O897" s="338" t="s">
        <v>409</v>
      </c>
      <c r="P897" s="338" t="s">
        <v>417</v>
      </c>
    </row>
    <row r="898" spans="2:16" x14ac:dyDescent="0.25">
      <c r="B898" s="336" t="s">
        <v>416</v>
      </c>
      <c r="C898" s="337">
        <v>41130</v>
      </c>
      <c r="D898" s="338" t="s">
        <v>3488</v>
      </c>
      <c r="E898" s="338" t="s">
        <v>485</v>
      </c>
      <c r="F898" s="338"/>
      <c r="G898" s="338">
        <v>36</v>
      </c>
      <c r="H898" s="338" t="s">
        <v>425</v>
      </c>
      <c r="I898" s="338" t="s">
        <v>411</v>
      </c>
      <c r="J898" s="339"/>
      <c r="K898" s="339"/>
      <c r="L898" s="339" t="s">
        <v>409</v>
      </c>
      <c r="M898" s="339" t="s">
        <v>409</v>
      </c>
      <c r="N898" s="338"/>
      <c r="O898" s="338" t="s">
        <v>409</v>
      </c>
      <c r="P898" s="338" t="s">
        <v>417</v>
      </c>
    </row>
    <row r="899" spans="2:16" x14ac:dyDescent="0.25">
      <c r="B899" s="336" t="s">
        <v>416</v>
      </c>
      <c r="C899" s="337">
        <v>41129</v>
      </c>
      <c r="D899" s="338" t="s">
        <v>7233</v>
      </c>
      <c r="E899" s="338" t="s">
        <v>5265</v>
      </c>
      <c r="F899" s="338" t="s">
        <v>7232</v>
      </c>
      <c r="G899" s="338">
        <v>19.600000000000001</v>
      </c>
      <c r="H899" s="338" t="s">
        <v>425</v>
      </c>
      <c r="I899" s="338" t="s">
        <v>411</v>
      </c>
      <c r="J899" s="339"/>
      <c r="K899" s="339"/>
      <c r="L899" s="339">
        <v>0.56896500000000005</v>
      </c>
      <c r="M899" s="339"/>
      <c r="N899" s="338"/>
      <c r="O899" s="338" t="s">
        <v>417</v>
      </c>
      <c r="P899" s="338" t="s">
        <v>417</v>
      </c>
    </row>
    <row r="900" spans="2:16" x14ac:dyDescent="0.25">
      <c r="B900" s="336" t="s">
        <v>459</v>
      </c>
      <c r="C900" s="337">
        <v>41129</v>
      </c>
      <c r="D900" s="338" t="s">
        <v>7231</v>
      </c>
      <c r="E900" s="338" t="s">
        <v>7230</v>
      </c>
      <c r="F900" s="338"/>
      <c r="G900" s="338">
        <v>200</v>
      </c>
      <c r="H900" s="338" t="s">
        <v>425</v>
      </c>
      <c r="I900" s="338" t="s">
        <v>411</v>
      </c>
      <c r="J900" s="339"/>
      <c r="K900" s="339"/>
      <c r="L900" s="339" t="s">
        <v>409</v>
      </c>
      <c r="M900" s="339" t="s">
        <v>409</v>
      </c>
      <c r="N900" s="338" t="s">
        <v>432</v>
      </c>
      <c r="O900" s="338" t="s">
        <v>409</v>
      </c>
      <c r="P900" s="338"/>
    </row>
    <row r="901" spans="2:16" x14ac:dyDescent="0.25">
      <c r="B901" s="336" t="s">
        <v>416</v>
      </c>
      <c r="C901" s="337">
        <v>41128</v>
      </c>
      <c r="D901" s="338" t="s">
        <v>7229</v>
      </c>
      <c r="E901" s="338" t="s">
        <v>831</v>
      </c>
      <c r="F901" s="338"/>
      <c r="G901" s="338">
        <v>81.89</v>
      </c>
      <c r="H901" s="338" t="s">
        <v>425</v>
      </c>
      <c r="I901" s="338" t="s">
        <v>411</v>
      </c>
      <c r="J901" s="339">
        <v>0.361091</v>
      </c>
      <c r="K901" s="339">
        <v>6.45845</v>
      </c>
      <c r="L901" s="339" t="s">
        <v>409</v>
      </c>
      <c r="M901" s="339" t="s">
        <v>409</v>
      </c>
      <c r="N901" s="338" t="s">
        <v>487</v>
      </c>
      <c r="O901" s="338" t="s">
        <v>409</v>
      </c>
      <c r="P901" s="338" t="s">
        <v>417</v>
      </c>
    </row>
    <row r="902" spans="2:16" x14ac:dyDescent="0.25">
      <c r="B902" s="336" t="s">
        <v>416</v>
      </c>
      <c r="C902" s="337">
        <v>41128</v>
      </c>
      <c r="D902" s="338" t="s">
        <v>7228</v>
      </c>
      <c r="E902" s="338" t="s">
        <v>7161</v>
      </c>
      <c r="F902" s="338"/>
      <c r="G902" s="338" t="s">
        <v>413</v>
      </c>
      <c r="H902" s="338" t="s">
        <v>425</v>
      </c>
      <c r="I902" s="338" t="s">
        <v>411</v>
      </c>
      <c r="J902" s="339"/>
      <c r="K902" s="339"/>
      <c r="L902" s="339" t="s">
        <v>409</v>
      </c>
      <c r="M902" s="339" t="s">
        <v>409</v>
      </c>
      <c r="N902" s="338" t="s">
        <v>417</v>
      </c>
      <c r="O902" s="338" t="s">
        <v>409</v>
      </c>
      <c r="P902" s="338" t="s">
        <v>443</v>
      </c>
    </row>
    <row r="903" spans="2:16" x14ac:dyDescent="0.25">
      <c r="B903" s="336" t="s">
        <v>416</v>
      </c>
      <c r="C903" s="337">
        <v>41127</v>
      </c>
      <c r="D903" s="338" t="s">
        <v>7227</v>
      </c>
      <c r="E903" s="338" t="s">
        <v>7219</v>
      </c>
      <c r="F903" s="338"/>
      <c r="G903" s="338" t="s">
        <v>413</v>
      </c>
      <c r="H903" s="338" t="s">
        <v>412</v>
      </c>
      <c r="I903" s="338" t="s">
        <v>411</v>
      </c>
      <c r="J903" s="339"/>
      <c r="K903" s="339"/>
      <c r="L903" s="339" t="s">
        <v>409</v>
      </c>
      <c r="M903" s="339" t="s">
        <v>409</v>
      </c>
      <c r="N903" s="338" t="s">
        <v>417</v>
      </c>
      <c r="O903" s="338" t="s">
        <v>409</v>
      </c>
      <c r="P903" s="338" t="s">
        <v>417</v>
      </c>
    </row>
    <row r="904" spans="2:16" x14ac:dyDescent="0.25">
      <c r="B904" s="336" t="s">
        <v>459</v>
      </c>
      <c r="C904" s="337">
        <v>41127</v>
      </c>
      <c r="D904" s="338" t="s">
        <v>5661</v>
      </c>
      <c r="E904" s="338" t="s">
        <v>669</v>
      </c>
      <c r="F904" s="338"/>
      <c r="G904" s="338">
        <v>2.5</v>
      </c>
      <c r="H904" s="338" t="s">
        <v>425</v>
      </c>
      <c r="I904" s="338" t="s">
        <v>411</v>
      </c>
      <c r="J904" s="339"/>
      <c r="K904" s="339"/>
      <c r="L904" s="339" t="s">
        <v>409</v>
      </c>
      <c r="M904" s="339" t="s">
        <v>409</v>
      </c>
      <c r="N904" s="338" t="s">
        <v>417</v>
      </c>
      <c r="O904" s="338" t="s">
        <v>409</v>
      </c>
      <c r="P904" s="338"/>
    </row>
    <row r="905" spans="2:16" x14ac:dyDescent="0.25">
      <c r="B905" s="336" t="s">
        <v>416</v>
      </c>
      <c r="C905" s="337">
        <v>41127</v>
      </c>
      <c r="D905" s="338" t="s">
        <v>2482</v>
      </c>
      <c r="E905" s="338" t="s">
        <v>7226</v>
      </c>
      <c r="F905" s="338"/>
      <c r="G905" s="338" t="s">
        <v>413</v>
      </c>
      <c r="H905" s="338" t="s">
        <v>425</v>
      </c>
      <c r="I905" s="338" t="s">
        <v>411</v>
      </c>
      <c r="J905" s="339"/>
      <c r="K905" s="339"/>
      <c r="L905" s="339" t="s">
        <v>409</v>
      </c>
      <c r="M905" s="339" t="s">
        <v>409</v>
      </c>
      <c r="N905" s="338" t="s">
        <v>417</v>
      </c>
      <c r="O905" s="338" t="s">
        <v>409</v>
      </c>
      <c r="P905" s="338"/>
    </row>
    <row r="906" spans="2:16" x14ac:dyDescent="0.25">
      <c r="B906" s="336" t="s">
        <v>416</v>
      </c>
      <c r="C906" s="337">
        <v>41127</v>
      </c>
      <c r="D906" s="338" t="s">
        <v>7225</v>
      </c>
      <c r="E906" s="338" t="s">
        <v>3857</v>
      </c>
      <c r="F906" s="338" t="s">
        <v>7224</v>
      </c>
      <c r="G906" s="338" t="s">
        <v>413</v>
      </c>
      <c r="H906" s="338" t="s">
        <v>425</v>
      </c>
      <c r="I906" s="338" t="s">
        <v>411</v>
      </c>
      <c r="J906" s="339"/>
      <c r="K906" s="339"/>
      <c r="L906" s="339"/>
      <c r="M906" s="339"/>
      <c r="N906" s="338"/>
      <c r="O906" s="338" t="s">
        <v>885</v>
      </c>
      <c r="P906" s="338" t="s">
        <v>417</v>
      </c>
    </row>
    <row r="907" spans="2:16" x14ac:dyDescent="0.25">
      <c r="B907" s="336" t="s">
        <v>416</v>
      </c>
      <c r="C907" s="337">
        <v>41126</v>
      </c>
      <c r="D907" s="338" t="s">
        <v>7223</v>
      </c>
      <c r="E907" s="338" t="s">
        <v>1197</v>
      </c>
      <c r="F907" s="338"/>
      <c r="G907" s="338" t="s">
        <v>413</v>
      </c>
      <c r="H907" s="338" t="s">
        <v>425</v>
      </c>
      <c r="I907" s="338" t="s">
        <v>411</v>
      </c>
      <c r="J907" s="339"/>
      <c r="K907" s="339"/>
      <c r="L907" s="339" t="s">
        <v>409</v>
      </c>
      <c r="M907" s="339" t="s">
        <v>409</v>
      </c>
      <c r="N907" s="338" t="s">
        <v>417</v>
      </c>
      <c r="O907" s="338" t="s">
        <v>409</v>
      </c>
      <c r="P907" s="338" t="s">
        <v>443</v>
      </c>
    </row>
    <row r="908" spans="2:16" x14ac:dyDescent="0.25">
      <c r="B908" s="336" t="s">
        <v>459</v>
      </c>
      <c r="C908" s="337">
        <v>41125</v>
      </c>
      <c r="D908" s="338" t="s">
        <v>7222</v>
      </c>
      <c r="E908" s="338" t="s">
        <v>7221</v>
      </c>
      <c r="F908" s="338"/>
      <c r="G908" s="338" t="s">
        <v>413</v>
      </c>
      <c r="H908" s="338" t="s">
        <v>425</v>
      </c>
      <c r="I908" s="338" t="s">
        <v>411</v>
      </c>
      <c r="J908" s="339"/>
      <c r="K908" s="339"/>
      <c r="L908" s="339" t="s">
        <v>409</v>
      </c>
      <c r="M908" s="339" t="s">
        <v>409</v>
      </c>
      <c r="N908" s="338" t="s">
        <v>417</v>
      </c>
      <c r="O908" s="338" t="s">
        <v>409</v>
      </c>
      <c r="P908" s="338" t="s">
        <v>443</v>
      </c>
    </row>
    <row r="909" spans="2:16" x14ac:dyDescent="0.25">
      <c r="B909" s="336" t="s">
        <v>416</v>
      </c>
      <c r="C909" s="337">
        <v>41124</v>
      </c>
      <c r="D909" s="338" t="s">
        <v>7220</v>
      </c>
      <c r="E909" s="338" t="s">
        <v>7219</v>
      </c>
      <c r="F909" s="338"/>
      <c r="G909" s="338" t="s">
        <v>413</v>
      </c>
      <c r="H909" s="338" t="s">
        <v>507</v>
      </c>
      <c r="I909" s="338" t="s">
        <v>411</v>
      </c>
      <c r="J909" s="339"/>
      <c r="K909" s="339"/>
      <c r="L909" s="339" t="s">
        <v>409</v>
      </c>
      <c r="M909" s="339" t="s">
        <v>409</v>
      </c>
      <c r="N909" s="338" t="s">
        <v>417</v>
      </c>
      <c r="O909" s="338" t="s">
        <v>409</v>
      </c>
      <c r="P909" s="338" t="s">
        <v>417</v>
      </c>
    </row>
    <row r="910" spans="2:16" x14ac:dyDescent="0.25">
      <c r="B910" s="336" t="s">
        <v>416</v>
      </c>
      <c r="C910" s="337">
        <v>41124</v>
      </c>
      <c r="D910" s="338" t="s">
        <v>7218</v>
      </c>
      <c r="E910" s="338" t="s">
        <v>4640</v>
      </c>
      <c r="F910" s="338"/>
      <c r="G910" s="338">
        <v>6.8</v>
      </c>
      <c r="H910" s="338" t="s">
        <v>425</v>
      </c>
      <c r="I910" s="338" t="s">
        <v>411</v>
      </c>
      <c r="J910" s="339"/>
      <c r="K910" s="339"/>
      <c r="L910" s="339" t="s">
        <v>409</v>
      </c>
      <c r="M910" s="339" t="s">
        <v>409</v>
      </c>
      <c r="N910" s="338" t="s">
        <v>417</v>
      </c>
      <c r="O910" s="338" t="s">
        <v>409</v>
      </c>
      <c r="P910" s="338" t="s">
        <v>417</v>
      </c>
    </row>
    <row r="911" spans="2:16" x14ac:dyDescent="0.25">
      <c r="B911" s="336" t="s">
        <v>416</v>
      </c>
      <c r="C911" s="337">
        <v>41123</v>
      </c>
      <c r="D911" s="338" t="s">
        <v>7217</v>
      </c>
      <c r="E911" s="338" t="s">
        <v>6116</v>
      </c>
      <c r="F911" s="338"/>
      <c r="G911" s="338" t="s">
        <v>413</v>
      </c>
      <c r="H911" s="338" t="s">
        <v>425</v>
      </c>
      <c r="I911" s="338" t="s">
        <v>411</v>
      </c>
      <c r="J911" s="339"/>
      <c r="K911" s="339"/>
      <c r="L911" s="339" t="s">
        <v>409</v>
      </c>
      <c r="M911" s="339" t="s">
        <v>409</v>
      </c>
      <c r="N911" s="338"/>
      <c r="O911" s="338" t="s">
        <v>409</v>
      </c>
      <c r="P911" s="338" t="s">
        <v>443</v>
      </c>
    </row>
    <row r="912" spans="2:16" x14ac:dyDescent="0.25">
      <c r="B912" s="336" t="s">
        <v>416</v>
      </c>
      <c r="C912" s="337">
        <v>41123</v>
      </c>
      <c r="D912" s="338" t="s">
        <v>7216</v>
      </c>
      <c r="E912" s="338" t="s">
        <v>7215</v>
      </c>
      <c r="F912" s="338"/>
      <c r="G912" s="338" t="s">
        <v>413</v>
      </c>
      <c r="H912" s="338" t="s">
        <v>412</v>
      </c>
      <c r="I912" s="338" t="s">
        <v>411</v>
      </c>
      <c r="J912" s="339"/>
      <c r="K912" s="339"/>
      <c r="L912" s="339" t="s">
        <v>409</v>
      </c>
      <c r="M912" s="339" t="s">
        <v>409</v>
      </c>
      <c r="N912" s="338" t="s">
        <v>417</v>
      </c>
      <c r="O912" s="338" t="s">
        <v>409</v>
      </c>
      <c r="P912" s="338" t="s">
        <v>443</v>
      </c>
    </row>
    <row r="913" spans="2:16" x14ac:dyDescent="0.25">
      <c r="B913" s="336" t="s">
        <v>416</v>
      </c>
      <c r="C913" s="337">
        <v>41122</v>
      </c>
      <c r="D913" s="338" t="s">
        <v>7214</v>
      </c>
      <c r="E913" s="338" t="s">
        <v>7005</v>
      </c>
      <c r="F913" s="338"/>
      <c r="G913" s="338" t="s">
        <v>413</v>
      </c>
      <c r="H913" s="338" t="s">
        <v>412</v>
      </c>
      <c r="I913" s="338" t="s">
        <v>411</v>
      </c>
      <c r="J913" s="339"/>
      <c r="K913" s="339"/>
      <c r="L913" s="339" t="s">
        <v>409</v>
      </c>
      <c r="M913" s="339" t="s">
        <v>409</v>
      </c>
      <c r="N913" s="338" t="s">
        <v>410</v>
      </c>
      <c r="O913" s="338" t="s">
        <v>409</v>
      </c>
      <c r="P913" s="338" t="s">
        <v>408</v>
      </c>
    </row>
    <row r="914" spans="2:16" x14ac:dyDescent="0.25">
      <c r="B914" s="336" t="s">
        <v>416</v>
      </c>
      <c r="C914" s="337">
        <v>41122</v>
      </c>
      <c r="D914" s="338" t="s">
        <v>7213</v>
      </c>
      <c r="E914" s="338" t="s">
        <v>7212</v>
      </c>
      <c r="F914" s="338" t="s">
        <v>7211</v>
      </c>
      <c r="G914" s="338" t="s">
        <v>413</v>
      </c>
      <c r="H914" s="338" t="s">
        <v>425</v>
      </c>
      <c r="I914" s="338" t="s">
        <v>411</v>
      </c>
      <c r="J914" s="339"/>
      <c r="K914" s="339"/>
      <c r="L914" s="339"/>
      <c r="M914" s="339"/>
      <c r="N914" s="338"/>
      <c r="O914" s="338" t="s">
        <v>417</v>
      </c>
      <c r="P914" s="338" t="s">
        <v>410</v>
      </c>
    </row>
    <row r="915" spans="2:16" x14ac:dyDescent="0.25">
      <c r="B915" s="336" t="s">
        <v>416</v>
      </c>
      <c r="C915" s="337">
        <v>41122</v>
      </c>
      <c r="D915" s="338" t="s">
        <v>7210</v>
      </c>
      <c r="E915" s="338" t="s">
        <v>7209</v>
      </c>
      <c r="F915" s="338"/>
      <c r="G915" s="338" t="s">
        <v>413</v>
      </c>
      <c r="H915" s="338" t="s">
        <v>412</v>
      </c>
      <c r="I915" s="338" t="s">
        <v>411</v>
      </c>
      <c r="J915" s="339"/>
      <c r="K915" s="339"/>
      <c r="L915" s="339" t="s">
        <v>409</v>
      </c>
      <c r="M915" s="339" t="s">
        <v>409</v>
      </c>
      <c r="N915" s="338" t="s">
        <v>417</v>
      </c>
      <c r="O915" s="338" t="s">
        <v>409</v>
      </c>
      <c r="P915" s="338" t="s">
        <v>432</v>
      </c>
    </row>
    <row r="916" spans="2:16" x14ac:dyDescent="0.25">
      <c r="B916" s="336" t="s">
        <v>416</v>
      </c>
      <c r="C916" s="337">
        <v>41120</v>
      </c>
      <c r="D916" s="338" t="s">
        <v>7208</v>
      </c>
      <c r="E916" s="338" t="s">
        <v>7207</v>
      </c>
      <c r="F916" s="338"/>
      <c r="G916" s="338" t="s">
        <v>413</v>
      </c>
      <c r="H916" s="338" t="s">
        <v>412</v>
      </c>
      <c r="I916" s="338" t="s">
        <v>411</v>
      </c>
      <c r="J916" s="339"/>
      <c r="K916" s="339"/>
      <c r="L916" s="339" t="s">
        <v>409</v>
      </c>
      <c r="M916" s="339" t="s">
        <v>409</v>
      </c>
      <c r="N916" s="338" t="s">
        <v>417</v>
      </c>
      <c r="O916" s="338" t="s">
        <v>409</v>
      </c>
      <c r="P916" s="338" t="s">
        <v>417</v>
      </c>
    </row>
    <row r="917" spans="2:16" x14ac:dyDescent="0.25">
      <c r="B917" s="336" t="s">
        <v>416</v>
      </c>
      <c r="C917" s="337">
        <v>41120</v>
      </c>
      <c r="D917" s="338" t="s">
        <v>7206</v>
      </c>
      <c r="E917" s="338" t="s">
        <v>7043</v>
      </c>
      <c r="F917" s="338"/>
      <c r="G917" s="338" t="s">
        <v>413</v>
      </c>
      <c r="H917" s="338" t="s">
        <v>412</v>
      </c>
      <c r="I917" s="338" t="s">
        <v>411</v>
      </c>
      <c r="J917" s="339"/>
      <c r="K917" s="339"/>
      <c r="L917" s="339" t="s">
        <v>409</v>
      </c>
      <c r="M917" s="339" t="s">
        <v>409</v>
      </c>
      <c r="N917" s="338"/>
      <c r="O917" s="338" t="s">
        <v>409</v>
      </c>
      <c r="P917" s="338" t="s">
        <v>417</v>
      </c>
    </row>
    <row r="918" spans="2:16" x14ac:dyDescent="0.25">
      <c r="B918" s="336" t="s">
        <v>416</v>
      </c>
      <c r="C918" s="337">
        <v>41117</v>
      </c>
      <c r="D918" s="338" t="s">
        <v>7205</v>
      </c>
      <c r="E918" s="338" t="s">
        <v>7156</v>
      </c>
      <c r="F918" s="338"/>
      <c r="G918" s="338" t="s">
        <v>413</v>
      </c>
      <c r="H918" s="338" t="s">
        <v>412</v>
      </c>
      <c r="I918" s="338" t="s">
        <v>411</v>
      </c>
      <c r="J918" s="339"/>
      <c r="K918" s="339"/>
      <c r="L918" s="339" t="s">
        <v>409</v>
      </c>
      <c r="M918" s="339" t="s">
        <v>409</v>
      </c>
      <c r="N918" s="338" t="s">
        <v>410</v>
      </c>
      <c r="O918" s="338" t="s">
        <v>409</v>
      </c>
      <c r="P918" s="338" t="s">
        <v>417</v>
      </c>
    </row>
    <row r="919" spans="2:16" x14ac:dyDescent="0.25">
      <c r="B919" s="336" t="s">
        <v>416</v>
      </c>
      <c r="C919" s="337">
        <v>41116</v>
      </c>
      <c r="D919" s="338" t="s">
        <v>945</v>
      </c>
      <c r="E919" s="338" t="s">
        <v>7204</v>
      </c>
      <c r="F919" s="338" t="s">
        <v>7203</v>
      </c>
      <c r="G919" s="338">
        <v>0.99</v>
      </c>
      <c r="H919" s="338" t="s">
        <v>425</v>
      </c>
      <c r="I919" s="338" t="s">
        <v>411</v>
      </c>
      <c r="J919" s="339"/>
      <c r="K919" s="339"/>
      <c r="L919" s="339"/>
      <c r="M919" s="339"/>
      <c r="N919" s="338"/>
      <c r="O919" s="338" t="s">
        <v>417</v>
      </c>
      <c r="P919" s="338" t="s">
        <v>417</v>
      </c>
    </row>
    <row r="920" spans="2:16" x14ac:dyDescent="0.25">
      <c r="B920" s="336" t="s">
        <v>459</v>
      </c>
      <c r="C920" s="337">
        <v>41116</v>
      </c>
      <c r="D920" s="338" t="s">
        <v>7202</v>
      </c>
      <c r="E920" s="338" t="s">
        <v>7201</v>
      </c>
      <c r="F920" s="338"/>
      <c r="G920" s="338">
        <v>1</v>
      </c>
      <c r="H920" s="338" t="s">
        <v>425</v>
      </c>
      <c r="I920" s="338" t="s">
        <v>411</v>
      </c>
      <c r="J920" s="339"/>
      <c r="K920" s="339"/>
      <c r="L920" s="339" t="s">
        <v>409</v>
      </c>
      <c r="M920" s="339" t="s">
        <v>409</v>
      </c>
      <c r="N920" s="338" t="s">
        <v>605</v>
      </c>
      <c r="O920" s="338" t="s">
        <v>409</v>
      </c>
      <c r="P920" s="338"/>
    </row>
    <row r="921" spans="2:16" x14ac:dyDescent="0.25">
      <c r="B921" s="336" t="s">
        <v>416</v>
      </c>
      <c r="C921" s="337">
        <v>41116</v>
      </c>
      <c r="D921" s="338" t="s">
        <v>7200</v>
      </c>
      <c r="E921" s="338" t="s">
        <v>7199</v>
      </c>
      <c r="F921" s="338"/>
      <c r="G921" s="338" t="s">
        <v>413</v>
      </c>
      <c r="H921" s="338" t="s">
        <v>412</v>
      </c>
      <c r="I921" s="338" t="s">
        <v>411</v>
      </c>
      <c r="J921" s="339"/>
      <c r="K921" s="339"/>
      <c r="L921" s="339" t="s">
        <v>409</v>
      </c>
      <c r="M921" s="339" t="s">
        <v>409</v>
      </c>
      <c r="N921" s="338" t="s">
        <v>487</v>
      </c>
      <c r="O921" s="338" t="s">
        <v>409</v>
      </c>
      <c r="P921" s="338" t="s">
        <v>417</v>
      </c>
    </row>
    <row r="922" spans="2:16" x14ac:dyDescent="0.25">
      <c r="B922" s="336" t="s">
        <v>416</v>
      </c>
      <c r="C922" s="337">
        <v>41116</v>
      </c>
      <c r="D922" s="338" t="s">
        <v>7198</v>
      </c>
      <c r="E922" s="338" t="s">
        <v>7197</v>
      </c>
      <c r="F922" s="338" t="s">
        <v>5718</v>
      </c>
      <c r="G922" s="338" t="s">
        <v>413</v>
      </c>
      <c r="H922" s="338" t="s">
        <v>412</v>
      </c>
      <c r="I922" s="338" t="s">
        <v>411</v>
      </c>
      <c r="J922" s="339"/>
      <c r="K922" s="339"/>
      <c r="L922" s="339"/>
      <c r="M922" s="339"/>
      <c r="N922" s="338" t="s">
        <v>432</v>
      </c>
      <c r="O922" s="338" t="s">
        <v>417</v>
      </c>
      <c r="P922" s="338" t="s">
        <v>543</v>
      </c>
    </row>
    <row r="923" spans="2:16" x14ac:dyDescent="0.25">
      <c r="B923" s="336" t="s">
        <v>416</v>
      </c>
      <c r="C923" s="337">
        <v>41116</v>
      </c>
      <c r="D923" s="338" t="s">
        <v>7196</v>
      </c>
      <c r="E923" s="338" t="s">
        <v>6054</v>
      </c>
      <c r="F923" s="338"/>
      <c r="G923" s="338" t="s">
        <v>413</v>
      </c>
      <c r="H923" s="338" t="s">
        <v>412</v>
      </c>
      <c r="I923" s="338" t="s">
        <v>411</v>
      </c>
      <c r="J923" s="339"/>
      <c r="K923" s="339"/>
      <c r="L923" s="339" t="s">
        <v>409</v>
      </c>
      <c r="M923" s="339" t="s">
        <v>409</v>
      </c>
      <c r="N923" s="338" t="s">
        <v>410</v>
      </c>
      <c r="O923" s="338" t="s">
        <v>409</v>
      </c>
      <c r="P923" s="338" t="s">
        <v>417</v>
      </c>
    </row>
    <row r="924" spans="2:16" x14ac:dyDescent="0.25">
      <c r="B924" s="336" t="s">
        <v>416</v>
      </c>
      <c r="C924" s="337">
        <v>41115</v>
      </c>
      <c r="D924" s="338" t="s">
        <v>7195</v>
      </c>
      <c r="E924" s="338" t="s">
        <v>7194</v>
      </c>
      <c r="F924" s="338" t="s">
        <v>7193</v>
      </c>
      <c r="G924" s="338">
        <v>35</v>
      </c>
      <c r="H924" s="338" t="s">
        <v>425</v>
      </c>
      <c r="I924" s="338" t="s">
        <v>411</v>
      </c>
      <c r="J924" s="339"/>
      <c r="K924" s="339"/>
      <c r="L924" s="339">
        <v>1.73184</v>
      </c>
      <c r="M924" s="339">
        <v>14.307499999999999</v>
      </c>
      <c r="N924" s="338" t="s">
        <v>417</v>
      </c>
      <c r="O924" s="338" t="s">
        <v>417</v>
      </c>
      <c r="P924" s="338" t="s">
        <v>443</v>
      </c>
    </row>
    <row r="925" spans="2:16" x14ac:dyDescent="0.25">
      <c r="B925" s="336" t="s">
        <v>416</v>
      </c>
      <c r="C925" s="337">
        <v>41115</v>
      </c>
      <c r="D925" s="338" t="s">
        <v>7192</v>
      </c>
      <c r="E925" s="338" t="s">
        <v>7191</v>
      </c>
      <c r="F925" s="338" t="s">
        <v>3494</v>
      </c>
      <c r="G925" s="338">
        <v>61</v>
      </c>
      <c r="H925" s="338" t="s">
        <v>425</v>
      </c>
      <c r="I925" s="338" t="s">
        <v>411</v>
      </c>
      <c r="J925" s="339"/>
      <c r="K925" s="339"/>
      <c r="L925" s="339">
        <v>4.4746899999999998</v>
      </c>
      <c r="M925" s="339">
        <v>11.501300000000001</v>
      </c>
      <c r="N925" s="338"/>
      <c r="O925" s="338" t="s">
        <v>417</v>
      </c>
      <c r="P925" s="338" t="s">
        <v>417</v>
      </c>
    </row>
    <row r="926" spans="2:16" x14ac:dyDescent="0.25">
      <c r="B926" s="336" t="s">
        <v>416</v>
      </c>
      <c r="C926" s="337">
        <v>41114</v>
      </c>
      <c r="D926" s="338" t="s">
        <v>7190</v>
      </c>
      <c r="E926" s="338" t="s">
        <v>7189</v>
      </c>
      <c r="F926" s="338"/>
      <c r="G926" s="338" t="s">
        <v>413</v>
      </c>
      <c r="H926" s="338" t="s">
        <v>425</v>
      </c>
      <c r="I926" s="338" t="s">
        <v>411</v>
      </c>
      <c r="J926" s="339"/>
      <c r="K926" s="339"/>
      <c r="L926" s="339" t="s">
        <v>409</v>
      </c>
      <c r="M926" s="339" t="s">
        <v>409</v>
      </c>
      <c r="N926" s="338" t="s">
        <v>432</v>
      </c>
      <c r="O926" s="338" t="s">
        <v>409</v>
      </c>
      <c r="P926" s="338" t="s">
        <v>432</v>
      </c>
    </row>
    <row r="927" spans="2:16" x14ac:dyDescent="0.25">
      <c r="B927" s="336" t="s">
        <v>416</v>
      </c>
      <c r="C927" s="337">
        <v>41113</v>
      </c>
      <c r="D927" s="338" t="s">
        <v>7188</v>
      </c>
      <c r="E927" s="338" t="s">
        <v>5476</v>
      </c>
      <c r="F927" s="338"/>
      <c r="G927" s="338">
        <v>155</v>
      </c>
      <c r="H927" s="338" t="s">
        <v>412</v>
      </c>
      <c r="I927" s="338" t="s">
        <v>411</v>
      </c>
      <c r="J927" s="339"/>
      <c r="K927" s="339"/>
      <c r="L927" s="339" t="s">
        <v>409</v>
      </c>
      <c r="M927" s="339" t="s">
        <v>409</v>
      </c>
      <c r="N927" s="338" t="s">
        <v>432</v>
      </c>
      <c r="O927" s="338" t="s">
        <v>409</v>
      </c>
      <c r="P927" s="338" t="s">
        <v>417</v>
      </c>
    </row>
    <row r="928" spans="2:16" x14ac:dyDescent="0.25">
      <c r="B928" s="336" t="s">
        <v>459</v>
      </c>
      <c r="C928" s="337">
        <v>41113</v>
      </c>
      <c r="D928" s="338" t="s">
        <v>5918</v>
      </c>
      <c r="E928" s="338" t="s">
        <v>7187</v>
      </c>
      <c r="F928" s="338"/>
      <c r="G928" s="338">
        <v>4.5</v>
      </c>
      <c r="H928" s="338" t="s">
        <v>425</v>
      </c>
      <c r="I928" s="338" t="s">
        <v>411</v>
      </c>
      <c r="J928" s="339"/>
      <c r="K928" s="339"/>
      <c r="L928" s="339" t="s">
        <v>409</v>
      </c>
      <c r="M928" s="339" t="s">
        <v>409</v>
      </c>
      <c r="N928" s="338" t="s">
        <v>417</v>
      </c>
      <c r="O928" s="338" t="s">
        <v>409</v>
      </c>
      <c r="P928" s="338"/>
    </row>
    <row r="929" spans="2:16" x14ac:dyDescent="0.25">
      <c r="B929" s="336" t="s">
        <v>459</v>
      </c>
      <c r="C929" s="337">
        <v>41113</v>
      </c>
      <c r="D929" s="338" t="s">
        <v>7186</v>
      </c>
      <c r="E929" s="338" t="s">
        <v>2206</v>
      </c>
      <c r="F929" s="338" t="s">
        <v>6110</v>
      </c>
      <c r="G929" s="338">
        <v>248</v>
      </c>
      <c r="H929" s="338" t="s">
        <v>425</v>
      </c>
      <c r="I929" s="338" t="s">
        <v>411</v>
      </c>
      <c r="J929" s="339"/>
      <c r="K929" s="339"/>
      <c r="L929" s="339">
        <v>0.49660399999999999</v>
      </c>
      <c r="M929" s="339"/>
      <c r="N929" s="338" t="s">
        <v>443</v>
      </c>
      <c r="O929" s="338" t="s">
        <v>417</v>
      </c>
      <c r="P929" s="338" t="s">
        <v>443</v>
      </c>
    </row>
    <row r="930" spans="2:16" x14ac:dyDescent="0.25">
      <c r="B930" s="336" t="s">
        <v>416</v>
      </c>
      <c r="C930" s="337">
        <v>41110</v>
      </c>
      <c r="D930" s="338" t="s">
        <v>7185</v>
      </c>
      <c r="E930" s="338" t="s">
        <v>889</v>
      </c>
      <c r="F930" s="338" t="s">
        <v>7184</v>
      </c>
      <c r="G930" s="338" t="s">
        <v>413</v>
      </c>
      <c r="H930" s="338" t="s">
        <v>412</v>
      </c>
      <c r="I930" s="338" t="s">
        <v>411</v>
      </c>
      <c r="J930" s="339"/>
      <c r="K930" s="339"/>
      <c r="L930" s="339"/>
      <c r="M930" s="339"/>
      <c r="N930" s="338" t="s">
        <v>417</v>
      </c>
      <c r="O930" s="338" t="s">
        <v>410</v>
      </c>
      <c r="P930" s="338" t="s">
        <v>410</v>
      </c>
    </row>
    <row r="931" spans="2:16" x14ac:dyDescent="0.25">
      <c r="B931" s="336" t="s">
        <v>459</v>
      </c>
      <c r="C931" s="337">
        <v>41110</v>
      </c>
      <c r="D931" s="338" t="s">
        <v>7183</v>
      </c>
      <c r="E931" s="338" t="s">
        <v>4627</v>
      </c>
      <c r="F931" s="338"/>
      <c r="G931" s="338" t="s">
        <v>413</v>
      </c>
      <c r="H931" s="338" t="s">
        <v>425</v>
      </c>
      <c r="I931" s="338" t="s">
        <v>411</v>
      </c>
      <c r="J931" s="339"/>
      <c r="K931" s="339"/>
      <c r="L931" s="339" t="s">
        <v>409</v>
      </c>
      <c r="M931" s="339" t="s">
        <v>409</v>
      </c>
      <c r="N931" s="338" t="s">
        <v>408</v>
      </c>
      <c r="O931" s="338" t="s">
        <v>409</v>
      </c>
      <c r="P931" s="338" t="s">
        <v>417</v>
      </c>
    </row>
    <row r="932" spans="2:16" x14ac:dyDescent="0.25">
      <c r="B932" s="336" t="s">
        <v>416</v>
      </c>
      <c r="C932" s="337">
        <v>41109</v>
      </c>
      <c r="D932" s="338" t="s">
        <v>7182</v>
      </c>
      <c r="E932" s="338" t="s">
        <v>7181</v>
      </c>
      <c r="F932" s="338"/>
      <c r="G932" s="338" t="s">
        <v>413</v>
      </c>
      <c r="H932" s="338" t="s">
        <v>412</v>
      </c>
      <c r="I932" s="338" t="s">
        <v>411</v>
      </c>
      <c r="J932" s="339"/>
      <c r="K932" s="339"/>
      <c r="L932" s="339" t="s">
        <v>409</v>
      </c>
      <c r="M932" s="339" t="s">
        <v>409</v>
      </c>
      <c r="N932" s="338" t="s">
        <v>487</v>
      </c>
      <c r="O932" s="338" t="s">
        <v>409</v>
      </c>
      <c r="P932" s="338" t="s">
        <v>417</v>
      </c>
    </row>
    <row r="933" spans="2:16" x14ac:dyDescent="0.25">
      <c r="B933" s="336" t="s">
        <v>416</v>
      </c>
      <c r="C933" s="337">
        <v>41109</v>
      </c>
      <c r="D933" s="338" t="s">
        <v>7180</v>
      </c>
      <c r="E933" s="338" t="s">
        <v>7179</v>
      </c>
      <c r="F933" s="338" t="s">
        <v>5488</v>
      </c>
      <c r="G933" s="338" t="s">
        <v>413</v>
      </c>
      <c r="H933" s="338" t="s">
        <v>425</v>
      </c>
      <c r="I933" s="338" t="s">
        <v>411</v>
      </c>
      <c r="J933" s="339"/>
      <c r="K933" s="339"/>
      <c r="L933" s="339"/>
      <c r="M933" s="339"/>
      <c r="N933" s="338"/>
      <c r="O933" s="338" t="s">
        <v>417</v>
      </c>
      <c r="P933" s="338" t="s">
        <v>432</v>
      </c>
    </row>
    <row r="934" spans="2:16" x14ac:dyDescent="0.25">
      <c r="B934" s="336" t="s">
        <v>416</v>
      </c>
      <c r="C934" s="337">
        <v>41108</v>
      </c>
      <c r="D934" s="338" t="s">
        <v>7178</v>
      </c>
      <c r="E934" s="338" t="s">
        <v>441</v>
      </c>
      <c r="F934" s="338" t="s">
        <v>7177</v>
      </c>
      <c r="G934" s="338" t="s">
        <v>413</v>
      </c>
      <c r="H934" s="338" t="s">
        <v>412</v>
      </c>
      <c r="I934" s="338" t="s">
        <v>411</v>
      </c>
      <c r="J934" s="339"/>
      <c r="K934" s="339"/>
      <c r="L934" s="339"/>
      <c r="M934" s="339"/>
      <c r="N934" s="338"/>
      <c r="O934" s="338" t="s">
        <v>408</v>
      </c>
      <c r="P934" s="338" t="s">
        <v>417</v>
      </c>
    </row>
    <row r="935" spans="2:16" x14ac:dyDescent="0.25">
      <c r="B935" s="336" t="s">
        <v>459</v>
      </c>
      <c r="C935" s="337">
        <v>41108</v>
      </c>
      <c r="D935" s="338" t="s">
        <v>7176</v>
      </c>
      <c r="E935" s="338" t="s">
        <v>716</v>
      </c>
      <c r="F935" s="338"/>
      <c r="G935" s="338" t="s">
        <v>413</v>
      </c>
      <c r="H935" s="338" t="s">
        <v>425</v>
      </c>
      <c r="I935" s="338" t="s">
        <v>411</v>
      </c>
      <c r="J935" s="339"/>
      <c r="K935" s="339"/>
      <c r="L935" s="339" t="s">
        <v>409</v>
      </c>
      <c r="M935" s="339" t="s">
        <v>409</v>
      </c>
      <c r="N935" s="338" t="s">
        <v>417</v>
      </c>
      <c r="O935" s="338" t="s">
        <v>409</v>
      </c>
      <c r="P935" s="338" t="s">
        <v>443</v>
      </c>
    </row>
    <row r="936" spans="2:16" x14ac:dyDescent="0.25">
      <c r="B936" s="336" t="s">
        <v>416</v>
      </c>
      <c r="C936" s="337">
        <v>41107</v>
      </c>
      <c r="D936" s="338" t="s">
        <v>7175</v>
      </c>
      <c r="E936" s="338" t="s">
        <v>7174</v>
      </c>
      <c r="F936" s="338"/>
      <c r="G936" s="338" t="s">
        <v>413</v>
      </c>
      <c r="H936" s="338" t="s">
        <v>412</v>
      </c>
      <c r="I936" s="338" t="s">
        <v>411</v>
      </c>
      <c r="J936" s="339"/>
      <c r="K936" s="339"/>
      <c r="L936" s="339" t="s">
        <v>409</v>
      </c>
      <c r="M936" s="339" t="s">
        <v>409</v>
      </c>
      <c r="N936" s="338" t="s">
        <v>885</v>
      </c>
      <c r="O936" s="338" t="s">
        <v>409</v>
      </c>
      <c r="P936" s="338" t="s">
        <v>417</v>
      </c>
    </row>
    <row r="937" spans="2:16" x14ac:dyDescent="0.25">
      <c r="B937" s="336" t="s">
        <v>416</v>
      </c>
      <c r="C937" s="337">
        <v>41106</v>
      </c>
      <c r="D937" s="338" t="s">
        <v>7173</v>
      </c>
      <c r="E937" s="338" t="s">
        <v>2237</v>
      </c>
      <c r="F937" s="338"/>
      <c r="G937" s="338" t="s">
        <v>413</v>
      </c>
      <c r="H937" s="338" t="s">
        <v>412</v>
      </c>
      <c r="I937" s="338" t="s">
        <v>411</v>
      </c>
      <c r="J937" s="339"/>
      <c r="K937" s="339"/>
      <c r="L937" s="339" t="s">
        <v>409</v>
      </c>
      <c r="M937" s="339" t="s">
        <v>409</v>
      </c>
      <c r="N937" s="338" t="s">
        <v>605</v>
      </c>
      <c r="O937" s="338" t="s">
        <v>409</v>
      </c>
      <c r="P937" s="338" t="s">
        <v>410</v>
      </c>
    </row>
    <row r="938" spans="2:16" x14ac:dyDescent="0.25">
      <c r="B938" s="336" t="s">
        <v>416</v>
      </c>
      <c r="C938" s="337">
        <v>41106</v>
      </c>
      <c r="D938" s="338" t="s">
        <v>654</v>
      </c>
      <c r="E938" s="338" t="s">
        <v>3303</v>
      </c>
      <c r="F938" s="338" t="s">
        <v>653</v>
      </c>
      <c r="G938" s="338">
        <v>163.5</v>
      </c>
      <c r="H938" s="338" t="s">
        <v>425</v>
      </c>
      <c r="I938" s="338" t="s">
        <v>411</v>
      </c>
      <c r="J938" s="339"/>
      <c r="K938" s="339"/>
      <c r="L938" s="339">
        <v>0.39988499999999999</v>
      </c>
      <c r="M938" s="339">
        <v>9.8301999999999996</v>
      </c>
      <c r="N938" s="338" t="s">
        <v>417</v>
      </c>
      <c r="O938" s="338" t="s">
        <v>417</v>
      </c>
      <c r="P938" s="338" t="s">
        <v>410</v>
      </c>
    </row>
    <row r="939" spans="2:16" x14ac:dyDescent="0.25">
      <c r="B939" s="336" t="s">
        <v>416</v>
      </c>
      <c r="C939" s="337">
        <v>41103</v>
      </c>
      <c r="D939" s="338" t="s">
        <v>945</v>
      </c>
      <c r="E939" s="338" t="s">
        <v>7172</v>
      </c>
      <c r="F939" s="338" t="s">
        <v>2839</v>
      </c>
      <c r="G939" s="338">
        <v>0.12</v>
      </c>
      <c r="H939" s="338" t="s">
        <v>425</v>
      </c>
      <c r="I939" s="338" t="s">
        <v>411</v>
      </c>
      <c r="J939" s="339"/>
      <c r="K939" s="339"/>
      <c r="L939" s="339">
        <v>0.40218500000000001</v>
      </c>
      <c r="M939" s="339">
        <v>11.9299</v>
      </c>
      <c r="N939" s="338"/>
      <c r="O939" s="338" t="s">
        <v>417</v>
      </c>
      <c r="P939" s="338" t="s">
        <v>410</v>
      </c>
    </row>
    <row r="940" spans="2:16" x14ac:dyDescent="0.25">
      <c r="B940" s="336" t="s">
        <v>416</v>
      </c>
      <c r="C940" s="337">
        <v>41102</v>
      </c>
      <c r="D940" s="338" t="s">
        <v>7171</v>
      </c>
      <c r="E940" s="338" t="s">
        <v>1155</v>
      </c>
      <c r="F940" s="338"/>
      <c r="G940" s="338" t="s">
        <v>413</v>
      </c>
      <c r="H940" s="338" t="s">
        <v>412</v>
      </c>
      <c r="I940" s="338" t="s">
        <v>411</v>
      </c>
      <c r="J940" s="339"/>
      <c r="K940" s="339"/>
      <c r="L940" s="339" t="s">
        <v>409</v>
      </c>
      <c r="M940" s="339" t="s">
        <v>409</v>
      </c>
      <c r="N940" s="338" t="s">
        <v>417</v>
      </c>
      <c r="O940" s="338" t="s">
        <v>409</v>
      </c>
      <c r="P940" s="338" t="s">
        <v>410</v>
      </c>
    </row>
    <row r="941" spans="2:16" x14ac:dyDescent="0.25">
      <c r="B941" s="336" t="s">
        <v>416</v>
      </c>
      <c r="C941" s="337">
        <v>41102</v>
      </c>
      <c r="D941" s="338" t="s">
        <v>3641</v>
      </c>
      <c r="E941" s="338" t="s">
        <v>3627</v>
      </c>
      <c r="F941" s="338" t="s">
        <v>716</v>
      </c>
      <c r="G941" s="338">
        <v>585</v>
      </c>
      <c r="H941" s="338" t="s">
        <v>425</v>
      </c>
      <c r="I941" s="338" t="s">
        <v>411</v>
      </c>
      <c r="J941" s="339"/>
      <c r="K941" s="339"/>
      <c r="L941" s="339"/>
      <c r="M941" s="339"/>
      <c r="N941" s="338" t="s">
        <v>417</v>
      </c>
      <c r="O941" s="338" t="s">
        <v>443</v>
      </c>
      <c r="P941" s="338" t="s">
        <v>417</v>
      </c>
    </row>
    <row r="942" spans="2:16" x14ac:dyDescent="0.25">
      <c r="B942" s="336" t="s">
        <v>416</v>
      </c>
      <c r="C942" s="337">
        <v>41102</v>
      </c>
      <c r="D942" s="338" t="s">
        <v>7170</v>
      </c>
      <c r="E942" s="338" t="s">
        <v>7169</v>
      </c>
      <c r="F942" s="338"/>
      <c r="G942" s="338" t="s">
        <v>413</v>
      </c>
      <c r="H942" s="338" t="s">
        <v>412</v>
      </c>
      <c r="I942" s="338" t="s">
        <v>411</v>
      </c>
      <c r="J942" s="339"/>
      <c r="K942" s="339"/>
      <c r="L942" s="339" t="s">
        <v>409</v>
      </c>
      <c r="M942" s="339" t="s">
        <v>409</v>
      </c>
      <c r="N942" s="338" t="s">
        <v>410</v>
      </c>
      <c r="O942" s="338" t="s">
        <v>409</v>
      </c>
      <c r="P942" s="338" t="s">
        <v>410</v>
      </c>
    </row>
    <row r="943" spans="2:16" x14ac:dyDescent="0.25">
      <c r="B943" s="336" t="s">
        <v>459</v>
      </c>
      <c r="C943" s="337">
        <v>41099</v>
      </c>
      <c r="D943" s="338" t="s">
        <v>7168</v>
      </c>
      <c r="E943" s="338" t="s">
        <v>7167</v>
      </c>
      <c r="F943" s="338"/>
      <c r="G943" s="338">
        <v>4.75</v>
      </c>
      <c r="H943" s="338" t="s">
        <v>425</v>
      </c>
      <c r="I943" s="338" t="s">
        <v>411</v>
      </c>
      <c r="J943" s="339"/>
      <c r="K943" s="339"/>
      <c r="L943" s="339" t="s">
        <v>409</v>
      </c>
      <c r="M943" s="339" t="s">
        <v>409</v>
      </c>
      <c r="N943" s="338" t="s">
        <v>605</v>
      </c>
      <c r="O943" s="338" t="s">
        <v>409</v>
      </c>
      <c r="P943" s="338"/>
    </row>
    <row r="944" spans="2:16" x14ac:dyDescent="0.25">
      <c r="B944" s="336" t="s">
        <v>416</v>
      </c>
      <c r="C944" s="337">
        <v>41099</v>
      </c>
      <c r="D944" s="338" t="s">
        <v>7166</v>
      </c>
      <c r="E944" s="338" t="s">
        <v>7165</v>
      </c>
      <c r="F944" s="338"/>
      <c r="G944" s="338" t="s">
        <v>413</v>
      </c>
      <c r="H944" s="338" t="s">
        <v>412</v>
      </c>
      <c r="I944" s="338" t="s">
        <v>411</v>
      </c>
      <c r="J944" s="339"/>
      <c r="K944" s="339"/>
      <c r="L944" s="339" t="s">
        <v>409</v>
      </c>
      <c r="M944" s="339" t="s">
        <v>409</v>
      </c>
      <c r="N944" s="338" t="s">
        <v>417</v>
      </c>
      <c r="O944" s="338" t="s">
        <v>409</v>
      </c>
      <c r="P944" s="338" t="s">
        <v>408</v>
      </c>
    </row>
    <row r="945" spans="2:16" x14ac:dyDescent="0.25">
      <c r="B945" s="336" t="s">
        <v>459</v>
      </c>
      <c r="C945" s="337">
        <v>41099</v>
      </c>
      <c r="D945" s="338" t="s">
        <v>7164</v>
      </c>
      <c r="E945" s="338" t="s">
        <v>1733</v>
      </c>
      <c r="F945" s="338"/>
      <c r="G945" s="338">
        <v>65</v>
      </c>
      <c r="H945" s="338" t="s">
        <v>425</v>
      </c>
      <c r="I945" s="338" t="s">
        <v>411</v>
      </c>
      <c r="J945" s="339">
        <v>0.15901899999999999</v>
      </c>
      <c r="K945" s="339"/>
      <c r="L945" s="339" t="s">
        <v>409</v>
      </c>
      <c r="M945" s="339" t="s">
        <v>409</v>
      </c>
      <c r="N945" s="338" t="s">
        <v>417</v>
      </c>
      <c r="O945" s="338" t="s">
        <v>409</v>
      </c>
      <c r="P945" s="338" t="s">
        <v>443</v>
      </c>
    </row>
    <row r="946" spans="2:16" x14ac:dyDescent="0.25">
      <c r="B946" s="336" t="s">
        <v>416</v>
      </c>
      <c r="C946" s="337">
        <v>41099</v>
      </c>
      <c r="D946" s="338" t="s">
        <v>7163</v>
      </c>
      <c r="E946" s="338" t="s">
        <v>6518</v>
      </c>
      <c r="F946" s="338"/>
      <c r="G946" s="338" t="s">
        <v>413</v>
      </c>
      <c r="H946" s="338" t="s">
        <v>425</v>
      </c>
      <c r="I946" s="338" t="s">
        <v>411</v>
      </c>
      <c r="J946" s="339"/>
      <c r="K946" s="339"/>
      <c r="L946" s="339" t="s">
        <v>409</v>
      </c>
      <c r="M946" s="339" t="s">
        <v>409</v>
      </c>
      <c r="N946" s="338"/>
      <c r="O946" s="338" t="s">
        <v>409</v>
      </c>
      <c r="P946" s="338" t="s">
        <v>417</v>
      </c>
    </row>
    <row r="947" spans="2:16" x14ac:dyDescent="0.25">
      <c r="B947" s="336" t="s">
        <v>416</v>
      </c>
      <c r="C947" s="337">
        <v>41099</v>
      </c>
      <c r="D947" s="338" t="s">
        <v>7162</v>
      </c>
      <c r="E947" s="338" t="s">
        <v>7161</v>
      </c>
      <c r="F947" s="338" t="s">
        <v>7160</v>
      </c>
      <c r="G947" s="338" t="s">
        <v>413</v>
      </c>
      <c r="H947" s="338" t="s">
        <v>425</v>
      </c>
      <c r="I947" s="338" t="s">
        <v>411</v>
      </c>
      <c r="J947" s="339"/>
      <c r="K947" s="339"/>
      <c r="L947" s="339"/>
      <c r="M947" s="339"/>
      <c r="N947" s="338" t="s">
        <v>417</v>
      </c>
      <c r="O947" s="338"/>
      <c r="P947" s="338" t="s">
        <v>443</v>
      </c>
    </row>
    <row r="948" spans="2:16" x14ac:dyDescent="0.25">
      <c r="B948" s="336" t="s">
        <v>459</v>
      </c>
      <c r="C948" s="337">
        <v>41099</v>
      </c>
      <c r="D948" s="338" t="s">
        <v>2267</v>
      </c>
      <c r="E948" s="338" t="s">
        <v>6215</v>
      </c>
      <c r="F948" s="338"/>
      <c r="G948" s="338" t="s">
        <v>413</v>
      </c>
      <c r="H948" s="338" t="s">
        <v>425</v>
      </c>
      <c r="I948" s="338" t="s">
        <v>411</v>
      </c>
      <c r="J948" s="339"/>
      <c r="K948" s="339"/>
      <c r="L948" s="339" t="s">
        <v>409</v>
      </c>
      <c r="M948" s="339" t="s">
        <v>409</v>
      </c>
      <c r="N948" s="338" t="s">
        <v>417</v>
      </c>
      <c r="O948" s="338" t="s">
        <v>409</v>
      </c>
      <c r="P948" s="338" t="s">
        <v>443</v>
      </c>
    </row>
    <row r="949" spans="2:16" x14ac:dyDescent="0.25">
      <c r="B949" s="336" t="s">
        <v>416</v>
      </c>
      <c r="C949" s="337">
        <v>41096</v>
      </c>
      <c r="D949" s="338" t="s">
        <v>521</v>
      </c>
      <c r="E949" s="338" t="s">
        <v>7159</v>
      </c>
      <c r="F949" s="338"/>
      <c r="G949" s="338">
        <v>35.83</v>
      </c>
      <c r="H949" s="338" t="s">
        <v>425</v>
      </c>
      <c r="I949" s="338" t="s">
        <v>1243</v>
      </c>
      <c r="J949" s="339">
        <v>0.47275299999999998</v>
      </c>
      <c r="K949" s="339">
        <v>9.2861600000000006</v>
      </c>
      <c r="L949" s="339" t="s">
        <v>409</v>
      </c>
      <c r="M949" s="339" t="s">
        <v>409</v>
      </c>
      <c r="N949" s="338" t="s">
        <v>417</v>
      </c>
      <c r="O949" s="338" t="s">
        <v>409</v>
      </c>
      <c r="P949" s="338" t="s">
        <v>443</v>
      </c>
    </row>
    <row r="950" spans="2:16" x14ac:dyDescent="0.25">
      <c r="B950" s="336" t="s">
        <v>416</v>
      </c>
      <c r="C950" s="337">
        <v>41096</v>
      </c>
      <c r="D950" s="338" t="s">
        <v>7158</v>
      </c>
      <c r="E950" s="338" t="s">
        <v>7157</v>
      </c>
      <c r="F950" s="338"/>
      <c r="G950" s="338">
        <v>142.84</v>
      </c>
      <c r="H950" s="338" t="s">
        <v>425</v>
      </c>
      <c r="I950" s="338" t="s">
        <v>411</v>
      </c>
      <c r="J950" s="339">
        <v>0.58084899999999995</v>
      </c>
      <c r="K950" s="339">
        <v>8.0693999999999999</v>
      </c>
      <c r="L950" s="339" t="s">
        <v>409</v>
      </c>
      <c r="M950" s="339" t="s">
        <v>409</v>
      </c>
      <c r="N950" s="338" t="s">
        <v>417</v>
      </c>
      <c r="O950" s="338" t="s">
        <v>409</v>
      </c>
      <c r="P950" s="338" t="s">
        <v>417</v>
      </c>
    </row>
    <row r="951" spans="2:16" x14ac:dyDescent="0.25">
      <c r="B951" s="336" t="s">
        <v>459</v>
      </c>
      <c r="C951" s="337">
        <v>41095</v>
      </c>
      <c r="D951" s="338" t="s">
        <v>7156</v>
      </c>
      <c r="E951" s="338" t="s">
        <v>7155</v>
      </c>
      <c r="F951" s="338"/>
      <c r="G951" s="338" t="s">
        <v>413</v>
      </c>
      <c r="H951" s="338" t="s">
        <v>425</v>
      </c>
      <c r="I951" s="338" t="s">
        <v>411</v>
      </c>
      <c r="J951" s="339"/>
      <c r="K951" s="339"/>
      <c r="L951" s="339" t="s">
        <v>409</v>
      </c>
      <c r="M951" s="339" t="s">
        <v>409</v>
      </c>
      <c r="N951" s="338" t="s">
        <v>417</v>
      </c>
      <c r="O951" s="338" t="s">
        <v>409</v>
      </c>
      <c r="P951" s="338" t="s">
        <v>443</v>
      </c>
    </row>
    <row r="952" spans="2:16" x14ac:dyDescent="0.25">
      <c r="B952" s="336" t="s">
        <v>416</v>
      </c>
      <c r="C952" s="337">
        <v>41095</v>
      </c>
      <c r="D952" s="338" t="s">
        <v>7154</v>
      </c>
      <c r="E952" s="338" t="s">
        <v>1619</v>
      </c>
      <c r="F952" s="338" t="s">
        <v>7153</v>
      </c>
      <c r="G952" s="338">
        <v>438</v>
      </c>
      <c r="H952" s="338" t="s">
        <v>425</v>
      </c>
      <c r="I952" s="338" t="s">
        <v>411</v>
      </c>
      <c r="J952" s="339"/>
      <c r="K952" s="339"/>
      <c r="L952" s="339"/>
      <c r="M952" s="339"/>
      <c r="N952" s="338"/>
      <c r="O952" s="338" t="s">
        <v>417</v>
      </c>
      <c r="P952" s="338" t="s">
        <v>417</v>
      </c>
    </row>
    <row r="953" spans="2:16" x14ac:dyDescent="0.25">
      <c r="B953" s="336" t="s">
        <v>416</v>
      </c>
      <c r="C953" s="337">
        <v>41093</v>
      </c>
      <c r="D953" s="338" t="s">
        <v>7152</v>
      </c>
      <c r="E953" s="338" t="s">
        <v>7034</v>
      </c>
      <c r="F953" s="338"/>
      <c r="G953" s="338" t="s">
        <v>413</v>
      </c>
      <c r="H953" s="338" t="s">
        <v>412</v>
      </c>
      <c r="I953" s="338" t="s">
        <v>411</v>
      </c>
      <c r="J953" s="339"/>
      <c r="K953" s="339"/>
      <c r="L953" s="339" t="s">
        <v>409</v>
      </c>
      <c r="M953" s="339" t="s">
        <v>409</v>
      </c>
      <c r="N953" s="338" t="s">
        <v>417</v>
      </c>
      <c r="O953" s="338" t="s">
        <v>409</v>
      </c>
      <c r="P953" s="338" t="s">
        <v>417</v>
      </c>
    </row>
    <row r="954" spans="2:16" x14ac:dyDescent="0.25">
      <c r="B954" s="336" t="s">
        <v>416</v>
      </c>
      <c r="C954" s="337">
        <v>41092</v>
      </c>
      <c r="D954" s="338" t="s">
        <v>7151</v>
      </c>
      <c r="E954" s="338" t="s">
        <v>4464</v>
      </c>
      <c r="F954" s="338" t="s">
        <v>7150</v>
      </c>
      <c r="G954" s="338" t="s">
        <v>413</v>
      </c>
      <c r="H954" s="338" t="s">
        <v>425</v>
      </c>
      <c r="I954" s="338" t="s">
        <v>411</v>
      </c>
      <c r="J954" s="339"/>
      <c r="K954" s="339"/>
      <c r="L954" s="339"/>
      <c r="M954" s="339"/>
      <c r="N954" s="338"/>
      <c r="O954" s="338" t="s">
        <v>410</v>
      </c>
      <c r="P954" s="338" t="s">
        <v>410</v>
      </c>
    </row>
    <row r="955" spans="2:16" x14ac:dyDescent="0.25">
      <c r="B955" s="336" t="s">
        <v>459</v>
      </c>
      <c r="C955" s="337">
        <v>41090</v>
      </c>
      <c r="D955" s="338" t="s">
        <v>7149</v>
      </c>
      <c r="E955" s="338" t="s">
        <v>7148</v>
      </c>
      <c r="F955" s="338"/>
      <c r="G955" s="338" t="s">
        <v>413</v>
      </c>
      <c r="H955" s="338" t="s">
        <v>425</v>
      </c>
      <c r="I955" s="338" t="s">
        <v>411</v>
      </c>
      <c r="J955" s="339"/>
      <c r="K955" s="339"/>
      <c r="L955" s="339" t="s">
        <v>409</v>
      </c>
      <c r="M955" s="339" t="s">
        <v>409</v>
      </c>
      <c r="N955" s="338" t="s">
        <v>417</v>
      </c>
      <c r="O955" s="338" t="s">
        <v>409</v>
      </c>
      <c r="P955" s="338" t="s">
        <v>443</v>
      </c>
    </row>
    <row r="956" spans="2:16" x14ac:dyDescent="0.25">
      <c r="B956" s="336" t="s">
        <v>459</v>
      </c>
      <c r="C956" s="337">
        <v>41087</v>
      </c>
      <c r="D956" s="338" t="s">
        <v>7147</v>
      </c>
      <c r="E956" s="338" t="s">
        <v>7146</v>
      </c>
      <c r="F956" s="338"/>
      <c r="G956" s="338">
        <v>8</v>
      </c>
      <c r="H956" s="338" t="s">
        <v>425</v>
      </c>
      <c r="I956" s="338" t="s">
        <v>411</v>
      </c>
      <c r="J956" s="339"/>
      <c r="K956" s="339"/>
      <c r="L956" s="339" t="s">
        <v>409</v>
      </c>
      <c r="M956" s="339" t="s">
        <v>409</v>
      </c>
      <c r="N956" s="338" t="s">
        <v>432</v>
      </c>
      <c r="O956" s="338" t="s">
        <v>409</v>
      </c>
      <c r="P956" s="338"/>
    </row>
    <row r="957" spans="2:16" x14ac:dyDescent="0.25">
      <c r="B957" s="336" t="s">
        <v>416</v>
      </c>
      <c r="C957" s="337">
        <v>41086</v>
      </c>
      <c r="D957" s="338" t="s">
        <v>3488</v>
      </c>
      <c r="E957" s="338" t="s">
        <v>7145</v>
      </c>
      <c r="F957" s="338"/>
      <c r="G957" s="338">
        <v>109.8</v>
      </c>
      <c r="H957" s="338" t="s">
        <v>425</v>
      </c>
      <c r="I957" s="338" t="s">
        <v>411</v>
      </c>
      <c r="J957" s="339"/>
      <c r="K957" s="339"/>
      <c r="L957" s="339" t="s">
        <v>409</v>
      </c>
      <c r="M957" s="339" t="s">
        <v>409</v>
      </c>
      <c r="N957" s="338"/>
      <c r="O957" s="338" t="s">
        <v>409</v>
      </c>
      <c r="P957" s="338" t="s">
        <v>417</v>
      </c>
    </row>
    <row r="958" spans="2:16" x14ac:dyDescent="0.25">
      <c r="B958" s="336" t="s">
        <v>459</v>
      </c>
      <c r="C958" s="337">
        <v>41086</v>
      </c>
      <c r="D958" s="338" t="s">
        <v>7144</v>
      </c>
      <c r="E958" s="338" t="s">
        <v>514</v>
      </c>
      <c r="F958" s="338"/>
      <c r="G958" s="338">
        <v>0.5</v>
      </c>
      <c r="H958" s="338" t="s">
        <v>425</v>
      </c>
      <c r="I958" s="338" t="s">
        <v>411</v>
      </c>
      <c r="J958" s="339"/>
      <c r="K958" s="339"/>
      <c r="L958" s="339" t="s">
        <v>409</v>
      </c>
      <c r="M958" s="339" t="s">
        <v>409</v>
      </c>
      <c r="N958" s="338" t="s">
        <v>410</v>
      </c>
      <c r="O958" s="338" t="s">
        <v>409</v>
      </c>
      <c r="P958" s="338"/>
    </row>
    <row r="959" spans="2:16" x14ac:dyDescent="0.25">
      <c r="B959" s="336" t="s">
        <v>416</v>
      </c>
      <c r="C959" s="337">
        <v>41086</v>
      </c>
      <c r="D959" s="338" t="s">
        <v>7143</v>
      </c>
      <c r="E959" s="338" t="s">
        <v>7142</v>
      </c>
      <c r="F959" s="338" t="s">
        <v>7141</v>
      </c>
      <c r="G959" s="338">
        <v>23.5</v>
      </c>
      <c r="H959" s="338" t="s">
        <v>412</v>
      </c>
      <c r="I959" s="338" t="s">
        <v>411</v>
      </c>
      <c r="J959" s="339"/>
      <c r="K959" s="339"/>
      <c r="L959" s="339"/>
      <c r="M959" s="339"/>
      <c r="N959" s="338"/>
      <c r="O959" s="338" t="s">
        <v>417</v>
      </c>
      <c r="P959" s="338" t="s">
        <v>417</v>
      </c>
    </row>
    <row r="960" spans="2:16" x14ac:dyDescent="0.25">
      <c r="B960" s="336" t="s">
        <v>416</v>
      </c>
      <c r="C960" s="337">
        <v>41086</v>
      </c>
      <c r="D960" s="338" t="s">
        <v>7140</v>
      </c>
      <c r="E960" s="338" t="s">
        <v>5984</v>
      </c>
      <c r="F960" s="338" t="s">
        <v>5326</v>
      </c>
      <c r="G960" s="338" t="s">
        <v>413</v>
      </c>
      <c r="H960" s="338" t="s">
        <v>412</v>
      </c>
      <c r="I960" s="338" t="s">
        <v>411</v>
      </c>
      <c r="J960" s="339"/>
      <c r="K960" s="339"/>
      <c r="L960" s="339"/>
      <c r="M960" s="339"/>
      <c r="N960" s="338"/>
      <c r="O960" s="338" t="s">
        <v>410</v>
      </c>
      <c r="P960" s="338" t="s">
        <v>410</v>
      </c>
    </row>
    <row r="961" spans="2:16" x14ac:dyDescent="0.25">
      <c r="B961" s="336" t="s">
        <v>459</v>
      </c>
      <c r="C961" s="337">
        <v>41085</v>
      </c>
      <c r="D961" s="338" t="s">
        <v>4642</v>
      </c>
      <c r="E961" s="338" t="s">
        <v>7139</v>
      </c>
      <c r="F961" s="338"/>
      <c r="G961" s="338" t="s">
        <v>413</v>
      </c>
      <c r="H961" s="338" t="s">
        <v>425</v>
      </c>
      <c r="I961" s="338" t="s">
        <v>411</v>
      </c>
      <c r="J961" s="339"/>
      <c r="K961" s="339"/>
      <c r="L961" s="339" t="s">
        <v>409</v>
      </c>
      <c r="M961" s="339" t="s">
        <v>409</v>
      </c>
      <c r="N961" s="338" t="s">
        <v>410</v>
      </c>
      <c r="O961" s="338" t="s">
        <v>409</v>
      </c>
      <c r="P961" s="338" t="s">
        <v>443</v>
      </c>
    </row>
    <row r="962" spans="2:16" x14ac:dyDescent="0.25">
      <c r="B962" s="336" t="s">
        <v>416</v>
      </c>
      <c r="C962" s="337">
        <v>41085</v>
      </c>
      <c r="D962" s="338" t="s">
        <v>7138</v>
      </c>
      <c r="E962" s="338" t="s">
        <v>6825</v>
      </c>
      <c r="F962" s="338"/>
      <c r="G962" s="338">
        <v>95.82</v>
      </c>
      <c r="H962" s="338" t="s">
        <v>425</v>
      </c>
      <c r="I962" s="338" t="s">
        <v>411</v>
      </c>
      <c r="J962" s="339">
        <v>0.45581899999999997</v>
      </c>
      <c r="K962" s="339">
        <v>7.1580500000000002</v>
      </c>
      <c r="L962" s="339" t="s">
        <v>409</v>
      </c>
      <c r="M962" s="339" t="s">
        <v>409</v>
      </c>
      <c r="N962" s="338" t="s">
        <v>417</v>
      </c>
      <c r="O962" s="338" t="s">
        <v>409</v>
      </c>
      <c r="P962" s="338" t="s">
        <v>443</v>
      </c>
    </row>
    <row r="963" spans="2:16" x14ac:dyDescent="0.25">
      <c r="B963" s="336" t="s">
        <v>416</v>
      </c>
      <c r="C963" s="337">
        <v>41085</v>
      </c>
      <c r="D963" s="338" t="s">
        <v>7137</v>
      </c>
      <c r="E963" s="338" t="s">
        <v>1529</v>
      </c>
      <c r="F963" s="338"/>
      <c r="G963" s="338" t="s">
        <v>413</v>
      </c>
      <c r="H963" s="338" t="s">
        <v>412</v>
      </c>
      <c r="I963" s="338" t="s">
        <v>411</v>
      </c>
      <c r="J963" s="339"/>
      <c r="K963" s="339"/>
      <c r="L963" s="339" t="s">
        <v>409</v>
      </c>
      <c r="M963" s="339" t="s">
        <v>409</v>
      </c>
      <c r="N963" s="338"/>
      <c r="O963" s="338" t="s">
        <v>409</v>
      </c>
      <c r="P963" s="338" t="s">
        <v>410</v>
      </c>
    </row>
    <row r="964" spans="2:16" x14ac:dyDescent="0.25">
      <c r="B964" s="336" t="s">
        <v>416</v>
      </c>
      <c r="C964" s="337">
        <v>41082</v>
      </c>
      <c r="D964" s="338" t="s">
        <v>7136</v>
      </c>
      <c r="E964" s="338" t="s">
        <v>7135</v>
      </c>
      <c r="F964" s="338"/>
      <c r="G964" s="338" t="s">
        <v>413</v>
      </c>
      <c r="H964" s="338" t="s">
        <v>412</v>
      </c>
      <c r="I964" s="338" t="s">
        <v>411</v>
      </c>
      <c r="J964" s="339"/>
      <c r="K964" s="339"/>
      <c r="L964" s="339" t="s">
        <v>409</v>
      </c>
      <c r="M964" s="339" t="s">
        <v>409</v>
      </c>
      <c r="N964" s="338" t="s">
        <v>417</v>
      </c>
      <c r="O964" s="338" t="s">
        <v>409</v>
      </c>
      <c r="P964" s="338" t="s">
        <v>410</v>
      </c>
    </row>
    <row r="965" spans="2:16" x14ac:dyDescent="0.25">
      <c r="B965" s="336" t="s">
        <v>459</v>
      </c>
      <c r="C965" s="337">
        <v>41082</v>
      </c>
      <c r="D965" s="338" t="s">
        <v>7134</v>
      </c>
      <c r="E965" s="338" t="s">
        <v>7133</v>
      </c>
      <c r="F965" s="338"/>
      <c r="G965" s="338" t="s">
        <v>413</v>
      </c>
      <c r="H965" s="338" t="s">
        <v>412</v>
      </c>
      <c r="I965" s="338" t="s">
        <v>411</v>
      </c>
      <c r="J965" s="339"/>
      <c r="K965" s="339"/>
      <c r="L965" s="339" t="s">
        <v>409</v>
      </c>
      <c r="M965" s="339" t="s">
        <v>409</v>
      </c>
      <c r="N965" s="338" t="s">
        <v>482</v>
      </c>
      <c r="O965" s="338" t="s">
        <v>409</v>
      </c>
      <c r="P965" s="338" t="s">
        <v>417</v>
      </c>
    </row>
    <row r="966" spans="2:16" x14ac:dyDescent="0.25">
      <c r="B966" s="336" t="s">
        <v>416</v>
      </c>
      <c r="C966" s="337">
        <v>41081</v>
      </c>
      <c r="D966" s="338" t="s">
        <v>7132</v>
      </c>
      <c r="E966" s="338" t="s">
        <v>7131</v>
      </c>
      <c r="F966" s="338" t="s">
        <v>5623</v>
      </c>
      <c r="G966" s="338" t="s">
        <v>413</v>
      </c>
      <c r="H966" s="338" t="s">
        <v>412</v>
      </c>
      <c r="I966" s="338" t="s">
        <v>411</v>
      </c>
      <c r="J966" s="339"/>
      <c r="K966" s="339"/>
      <c r="L966" s="339"/>
      <c r="M966" s="339"/>
      <c r="N966" s="338"/>
      <c r="O966" s="338" t="s">
        <v>417</v>
      </c>
      <c r="P966" s="338" t="s">
        <v>410</v>
      </c>
    </row>
    <row r="967" spans="2:16" x14ac:dyDescent="0.25">
      <c r="B967" s="336" t="s">
        <v>416</v>
      </c>
      <c r="C967" s="337">
        <v>41081</v>
      </c>
      <c r="D967" s="338" t="s">
        <v>7130</v>
      </c>
      <c r="E967" s="338" t="s">
        <v>1284</v>
      </c>
      <c r="F967" s="338" t="s">
        <v>5623</v>
      </c>
      <c r="G967" s="338" t="s">
        <v>413</v>
      </c>
      <c r="H967" s="338" t="s">
        <v>412</v>
      </c>
      <c r="I967" s="338" t="s">
        <v>411</v>
      </c>
      <c r="J967" s="339"/>
      <c r="K967" s="339"/>
      <c r="L967" s="339"/>
      <c r="M967" s="339"/>
      <c r="N967" s="338"/>
      <c r="O967" s="338" t="s">
        <v>417</v>
      </c>
      <c r="P967" s="338" t="s">
        <v>417</v>
      </c>
    </row>
    <row r="968" spans="2:16" x14ac:dyDescent="0.25">
      <c r="B968" s="336" t="s">
        <v>459</v>
      </c>
      <c r="C968" s="337">
        <v>41081</v>
      </c>
      <c r="D968" s="338" t="s">
        <v>7129</v>
      </c>
      <c r="E968" s="338" t="s">
        <v>7128</v>
      </c>
      <c r="F968" s="338"/>
      <c r="G968" s="338">
        <v>30</v>
      </c>
      <c r="H968" s="338" t="s">
        <v>425</v>
      </c>
      <c r="I968" s="338" t="s">
        <v>411</v>
      </c>
      <c r="J968" s="339"/>
      <c r="K968" s="339"/>
      <c r="L968" s="339" t="s">
        <v>409</v>
      </c>
      <c r="M968" s="339" t="s">
        <v>409</v>
      </c>
      <c r="N968" s="338" t="s">
        <v>432</v>
      </c>
      <c r="O968" s="338" t="s">
        <v>409</v>
      </c>
      <c r="P968" s="338"/>
    </row>
    <row r="969" spans="2:16" x14ac:dyDescent="0.25">
      <c r="B969" s="336" t="s">
        <v>416</v>
      </c>
      <c r="C969" s="337">
        <v>41080</v>
      </c>
      <c r="D969" s="338" t="s">
        <v>7127</v>
      </c>
      <c r="E969" s="338" t="s">
        <v>3176</v>
      </c>
      <c r="F969" s="338" t="s">
        <v>7126</v>
      </c>
      <c r="G969" s="338" t="s">
        <v>413</v>
      </c>
      <c r="H969" s="338" t="s">
        <v>425</v>
      </c>
      <c r="I969" s="338" t="s">
        <v>411</v>
      </c>
      <c r="J969" s="339"/>
      <c r="K969" s="339"/>
      <c r="L969" s="339">
        <v>0.54527499999999995</v>
      </c>
      <c r="M969" s="339"/>
      <c r="N969" s="338"/>
      <c r="O969" s="338" t="s">
        <v>417</v>
      </c>
      <c r="P969" s="338" t="s">
        <v>417</v>
      </c>
    </row>
    <row r="970" spans="2:16" x14ac:dyDescent="0.25">
      <c r="B970" s="336" t="s">
        <v>1441</v>
      </c>
      <c r="C970" s="337">
        <v>41080</v>
      </c>
      <c r="D970" s="338" t="s">
        <v>7125</v>
      </c>
      <c r="E970" s="338" t="s">
        <v>7124</v>
      </c>
      <c r="F970" s="338"/>
      <c r="G970" s="338" t="s">
        <v>413</v>
      </c>
      <c r="H970" s="338" t="s">
        <v>412</v>
      </c>
      <c r="I970" s="338" t="s">
        <v>411</v>
      </c>
      <c r="J970" s="339"/>
      <c r="K970" s="339"/>
      <c r="L970" s="339" t="s">
        <v>409</v>
      </c>
      <c r="M970" s="339" t="s">
        <v>409</v>
      </c>
      <c r="N970" s="338" t="s">
        <v>487</v>
      </c>
      <c r="O970" s="338" t="s">
        <v>409</v>
      </c>
      <c r="P970" s="338" t="s">
        <v>443</v>
      </c>
    </row>
    <row r="971" spans="2:16" x14ac:dyDescent="0.25">
      <c r="B971" s="336" t="s">
        <v>416</v>
      </c>
      <c r="C971" s="337">
        <v>41080</v>
      </c>
      <c r="D971" s="338" t="s">
        <v>7123</v>
      </c>
      <c r="E971" s="338" t="s">
        <v>1857</v>
      </c>
      <c r="F971" s="338"/>
      <c r="G971" s="338" t="s">
        <v>413</v>
      </c>
      <c r="H971" s="338" t="s">
        <v>425</v>
      </c>
      <c r="I971" s="338" t="s">
        <v>411</v>
      </c>
      <c r="J971" s="339"/>
      <c r="K971" s="339"/>
      <c r="L971" s="339" t="s">
        <v>409</v>
      </c>
      <c r="M971" s="339" t="s">
        <v>409</v>
      </c>
      <c r="N971" s="338"/>
      <c r="O971" s="338" t="s">
        <v>409</v>
      </c>
      <c r="P971" s="338" t="s">
        <v>443</v>
      </c>
    </row>
    <row r="972" spans="2:16" x14ac:dyDescent="0.25">
      <c r="B972" s="336" t="s">
        <v>416</v>
      </c>
      <c r="C972" s="337">
        <v>41079</v>
      </c>
      <c r="D972" s="338" t="s">
        <v>7122</v>
      </c>
      <c r="E972" s="338" t="s">
        <v>1812</v>
      </c>
      <c r="F972" s="338"/>
      <c r="G972" s="338" t="s">
        <v>413</v>
      </c>
      <c r="H972" s="338" t="s">
        <v>412</v>
      </c>
      <c r="I972" s="338" t="s">
        <v>411</v>
      </c>
      <c r="J972" s="339"/>
      <c r="K972" s="339"/>
      <c r="L972" s="339" t="s">
        <v>409</v>
      </c>
      <c r="M972" s="339" t="s">
        <v>409</v>
      </c>
      <c r="N972" s="338" t="s">
        <v>605</v>
      </c>
      <c r="O972" s="338" t="s">
        <v>409</v>
      </c>
      <c r="P972" s="338" t="s">
        <v>417</v>
      </c>
    </row>
    <row r="973" spans="2:16" x14ac:dyDescent="0.25">
      <c r="B973" s="336" t="s">
        <v>416</v>
      </c>
      <c r="C973" s="337">
        <v>41079</v>
      </c>
      <c r="D973" s="338" t="s">
        <v>7121</v>
      </c>
      <c r="E973" s="338" t="s">
        <v>2058</v>
      </c>
      <c r="F973" s="338" t="s">
        <v>7120</v>
      </c>
      <c r="G973" s="338">
        <v>3.2</v>
      </c>
      <c r="H973" s="338" t="s">
        <v>425</v>
      </c>
      <c r="I973" s="338" t="s">
        <v>411</v>
      </c>
      <c r="J973" s="339"/>
      <c r="K973" s="339"/>
      <c r="L973" s="339"/>
      <c r="M973" s="339"/>
      <c r="N973" s="338"/>
      <c r="O973" s="338" t="s">
        <v>417</v>
      </c>
      <c r="P973" s="338" t="s">
        <v>417</v>
      </c>
    </row>
    <row r="974" spans="2:16" x14ac:dyDescent="0.25">
      <c r="B974" s="336" t="s">
        <v>416</v>
      </c>
      <c r="C974" s="337">
        <v>41079</v>
      </c>
      <c r="D974" s="338" t="s">
        <v>7119</v>
      </c>
      <c r="E974" s="338" t="s">
        <v>1147</v>
      </c>
      <c r="F974" s="338" t="s">
        <v>1317</v>
      </c>
      <c r="G974" s="338" t="s">
        <v>413</v>
      </c>
      <c r="H974" s="338" t="s">
        <v>425</v>
      </c>
      <c r="I974" s="338" t="s">
        <v>411</v>
      </c>
      <c r="J974" s="339"/>
      <c r="K974" s="339"/>
      <c r="L974" s="339">
        <v>0.38016</v>
      </c>
      <c r="M974" s="339">
        <v>6.6719400000000002</v>
      </c>
      <c r="N974" s="338"/>
      <c r="O974" s="338" t="s">
        <v>417</v>
      </c>
      <c r="P974" s="338" t="s">
        <v>410</v>
      </c>
    </row>
    <row r="975" spans="2:16" x14ac:dyDescent="0.25">
      <c r="B975" s="336" t="s">
        <v>459</v>
      </c>
      <c r="C975" s="337">
        <v>41079</v>
      </c>
      <c r="D975" s="338" t="s">
        <v>7118</v>
      </c>
      <c r="E975" s="338" t="s">
        <v>7117</v>
      </c>
      <c r="F975" s="338"/>
      <c r="G975" s="338">
        <v>1.25</v>
      </c>
      <c r="H975" s="338" t="s">
        <v>425</v>
      </c>
      <c r="I975" s="338" t="s">
        <v>411</v>
      </c>
      <c r="J975" s="339"/>
      <c r="K975" s="339"/>
      <c r="L975" s="339" t="s">
        <v>409</v>
      </c>
      <c r="M975" s="339" t="s">
        <v>409</v>
      </c>
      <c r="N975" s="338" t="s">
        <v>432</v>
      </c>
      <c r="O975" s="338" t="s">
        <v>409</v>
      </c>
      <c r="P975" s="338"/>
    </row>
    <row r="976" spans="2:16" x14ac:dyDescent="0.25">
      <c r="B976" s="336" t="s">
        <v>416</v>
      </c>
      <c r="C976" s="337">
        <v>41079</v>
      </c>
      <c r="D976" s="338" t="s">
        <v>7116</v>
      </c>
      <c r="E976" s="338" t="s">
        <v>7115</v>
      </c>
      <c r="F976" s="338"/>
      <c r="G976" s="338">
        <v>0.18</v>
      </c>
      <c r="H976" s="338" t="s">
        <v>336</v>
      </c>
      <c r="I976" s="338" t="s">
        <v>1243</v>
      </c>
      <c r="J976" s="339"/>
      <c r="K976" s="339"/>
      <c r="L976" s="339" t="s">
        <v>409</v>
      </c>
      <c r="M976" s="339" t="s">
        <v>409</v>
      </c>
      <c r="N976" s="338" t="s">
        <v>443</v>
      </c>
      <c r="O976" s="338" t="s">
        <v>409</v>
      </c>
      <c r="P976" s="338" t="s">
        <v>410</v>
      </c>
    </row>
    <row r="977" spans="2:16" x14ac:dyDescent="0.25">
      <c r="B977" s="336" t="s">
        <v>416</v>
      </c>
      <c r="C977" s="337">
        <v>41078</v>
      </c>
      <c r="D977" s="338" t="s">
        <v>7114</v>
      </c>
      <c r="E977" s="338" t="s">
        <v>2557</v>
      </c>
      <c r="F977" s="338"/>
      <c r="G977" s="338">
        <v>25.5</v>
      </c>
      <c r="H977" s="338" t="s">
        <v>425</v>
      </c>
      <c r="I977" s="338" t="s">
        <v>411</v>
      </c>
      <c r="J977" s="339"/>
      <c r="K977" s="339"/>
      <c r="L977" s="339" t="s">
        <v>409</v>
      </c>
      <c r="M977" s="339" t="s">
        <v>409</v>
      </c>
      <c r="N977" s="338"/>
      <c r="O977" s="338" t="s">
        <v>409</v>
      </c>
      <c r="P977" s="338" t="s">
        <v>417</v>
      </c>
    </row>
    <row r="978" spans="2:16" x14ac:dyDescent="0.25">
      <c r="B978" s="336" t="s">
        <v>459</v>
      </c>
      <c r="C978" s="337">
        <v>41078</v>
      </c>
      <c r="D978" s="338" t="s">
        <v>5487</v>
      </c>
      <c r="E978" s="338" t="s">
        <v>7113</v>
      </c>
      <c r="F978" s="338"/>
      <c r="G978" s="338" t="s">
        <v>413</v>
      </c>
      <c r="H978" s="338" t="s">
        <v>425</v>
      </c>
      <c r="I978" s="338" t="s">
        <v>411</v>
      </c>
      <c r="J978" s="339"/>
      <c r="K978" s="339"/>
      <c r="L978" s="339" t="s">
        <v>409</v>
      </c>
      <c r="M978" s="339" t="s">
        <v>409</v>
      </c>
      <c r="N978" s="338" t="s">
        <v>417</v>
      </c>
      <c r="O978" s="338" t="s">
        <v>409</v>
      </c>
      <c r="P978" s="338"/>
    </row>
    <row r="979" spans="2:16" x14ac:dyDescent="0.25">
      <c r="B979" s="336" t="s">
        <v>459</v>
      </c>
      <c r="C979" s="337">
        <v>41078</v>
      </c>
      <c r="D979" s="338" t="s">
        <v>7112</v>
      </c>
      <c r="E979" s="338" t="s">
        <v>669</v>
      </c>
      <c r="F979" s="338"/>
      <c r="G979" s="338">
        <v>0.1</v>
      </c>
      <c r="H979" s="338" t="s">
        <v>425</v>
      </c>
      <c r="I979" s="338" t="s">
        <v>411</v>
      </c>
      <c r="J979" s="339"/>
      <c r="K979" s="339"/>
      <c r="L979" s="339" t="s">
        <v>409</v>
      </c>
      <c r="M979" s="339" t="s">
        <v>409</v>
      </c>
      <c r="N979" s="338" t="s">
        <v>417</v>
      </c>
      <c r="O979" s="338" t="s">
        <v>409</v>
      </c>
      <c r="P979" s="338"/>
    </row>
    <row r="980" spans="2:16" x14ac:dyDescent="0.25">
      <c r="B980" s="336" t="s">
        <v>416</v>
      </c>
      <c r="C980" s="337">
        <v>41075</v>
      </c>
      <c r="D980" s="338" t="s">
        <v>3488</v>
      </c>
      <c r="E980" s="338" t="s">
        <v>7111</v>
      </c>
      <c r="F980" s="338" t="s">
        <v>7110</v>
      </c>
      <c r="G980" s="338">
        <v>16.77</v>
      </c>
      <c r="H980" s="338" t="s">
        <v>425</v>
      </c>
      <c r="I980" s="338" t="s">
        <v>411</v>
      </c>
      <c r="J980" s="339"/>
      <c r="K980" s="339"/>
      <c r="L980" s="339">
        <v>0.29655700000000002</v>
      </c>
      <c r="M980" s="339">
        <v>8.6107800000000001</v>
      </c>
      <c r="N980" s="338"/>
      <c r="O980" s="338" t="s">
        <v>417</v>
      </c>
      <c r="P980" s="338" t="s">
        <v>417</v>
      </c>
    </row>
    <row r="981" spans="2:16" x14ac:dyDescent="0.25">
      <c r="B981" s="336" t="s">
        <v>416</v>
      </c>
      <c r="C981" s="337">
        <v>41075</v>
      </c>
      <c r="D981" s="338" t="s">
        <v>945</v>
      </c>
      <c r="E981" s="338" t="s">
        <v>742</v>
      </c>
      <c r="F981" s="338" t="s">
        <v>7109</v>
      </c>
      <c r="G981" s="338">
        <v>4.3</v>
      </c>
      <c r="H981" s="338" t="s">
        <v>425</v>
      </c>
      <c r="I981" s="338" t="s">
        <v>411</v>
      </c>
      <c r="J981" s="339"/>
      <c r="K981" s="339"/>
      <c r="L981" s="339"/>
      <c r="M981" s="339"/>
      <c r="N981" s="338"/>
      <c r="O981" s="338"/>
      <c r="P981" s="338" t="s">
        <v>417</v>
      </c>
    </row>
    <row r="982" spans="2:16" x14ac:dyDescent="0.25">
      <c r="B982" s="336" t="s">
        <v>416</v>
      </c>
      <c r="C982" s="337">
        <v>41074</v>
      </c>
      <c r="D982" s="338" t="s">
        <v>7108</v>
      </c>
      <c r="E982" s="338" t="s">
        <v>7107</v>
      </c>
      <c r="F982" s="338"/>
      <c r="G982" s="338" t="s">
        <v>413</v>
      </c>
      <c r="H982" s="338" t="s">
        <v>412</v>
      </c>
      <c r="I982" s="338" t="s">
        <v>411</v>
      </c>
      <c r="J982" s="339"/>
      <c r="K982" s="339"/>
      <c r="L982" s="339" t="s">
        <v>409</v>
      </c>
      <c r="M982" s="339" t="s">
        <v>409</v>
      </c>
      <c r="N982" s="338" t="s">
        <v>417</v>
      </c>
      <c r="O982" s="338" t="s">
        <v>409</v>
      </c>
      <c r="P982" s="338" t="s">
        <v>410</v>
      </c>
    </row>
    <row r="983" spans="2:16" x14ac:dyDescent="0.25">
      <c r="B983" s="336" t="s">
        <v>416</v>
      </c>
      <c r="C983" s="337">
        <v>41074</v>
      </c>
      <c r="D983" s="338" t="s">
        <v>7106</v>
      </c>
      <c r="E983" s="338" t="s">
        <v>7105</v>
      </c>
      <c r="F983" s="338"/>
      <c r="G983" s="338" t="s">
        <v>413</v>
      </c>
      <c r="H983" s="338" t="s">
        <v>412</v>
      </c>
      <c r="I983" s="338" t="s">
        <v>411</v>
      </c>
      <c r="J983" s="339"/>
      <c r="K983" s="339"/>
      <c r="L983" s="339" t="s">
        <v>409</v>
      </c>
      <c r="M983" s="339" t="s">
        <v>409</v>
      </c>
      <c r="N983" s="338" t="s">
        <v>417</v>
      </c>
      <c r="O983" s="338" t="s">
        <v>409</v>
      </c>
      <c r="P983" s="338" t="s">
        <v>417</v>
      </c>
    </row>
    <row r="984" spans="2:16" x14ac:dyDescent="0.25">
      <c r="B984" s="336" t="s">
        <v>416</v>
      </c>
      <c r="C984" s="337">
        <v>41074</v>
      </c>
      <c r="D984" s="338" t="s">
        <v>7104</v>
      </c>
      <c r="E984" s="338" t="s">
        <v>1529</v>
      </c>
      <c r="F984" s="338" t="s">
        <v>7103</v>
      </c>
      <c r="G984" s="338" t="s">
        <v>413</v>
      </c>
      <c r="H984" s="338" t="s">
        <v>425</v>
      </c>
      <c r="I984" s="338" t="s">
        <v>411</v>
      </c>
      <c r="J984" s="339"/>
      <c r="K984" s="339"/>
      <c r="L984" s="339"/>
      <c r="M984" s="339"/>
      <c r="N984" s="338"/>
      <c r="O984" s="338" t="s">
        <v>417</v>
      </c>
      <c r="P984" s="338" t="s">
        <v>410</v>
      </c>
    </row>
    <row r="985" spans="2:16" x14ac:dyDescent="0.25">
      <c r="B985" s="336" t="s">
        <v>416</v>
      </c>
      <c r="C985" s="337">
        <v>41072</v>
      </c>
      <c r="D985" s="338" t="s">
        <v>7102</v>
      </c>
      <c r="E985" s="338" t="s">
        <v>7101</v>
      </c>
      <c r="F985" s="338"/>
      <c r="G985" s="338" t="s">
        <v>413</v>
      </c>
      <c r="H985" s="338" t="s">
        <v>412</v>
      </c>
      <c r="I985" s="338" t="s">
        <v>411</v>
      </c>
      <c r="J985" s="339"/>
      <c r="K985" s="339"/>
      <c r="L985" s="339" t="s">
        <v>409</v>
      </c>
      <c r="M985" s="339" t="s">
        <v>409</v>
      </c>
      <c r="N985" s="338"/>
      <c r="O985" s="338" t="s">
        <v>409</v>
      </c>
      <c r="P985" s="338" t="s">
        <v>443</v>
      </c>
    </row>
    <row r="986" spans="2:16" x14ac:dyDescent="0.25">
      <c r="B986" s="336" t="s">
        <v>416</v>
      </c>
      <c r="C986" s="337">
        <v>41072</v>
      </c>
      <c r="D986" s="338" t="s">
        <v>7100</v>
      </c>
      <c r="E986" s="338" t="s">
        <v>2399</v>
      </c>
      <c r="F986" s="338" t="s">
        <v>7099</v>
      </c>
      <c r="G986" s="338" t="s">
        <v>413</v>
      </c>
      <c r="H986" s="338" t="s">
        <v>412</v>
      </c>
      <c r="I986" s="338" t="s">
        <v>411</v>
      </c>
      <c r="J986" s="339"/>
      <c r="K986" s="339"/>
      <c r="L986" s="339"/>
      <c r="M986" s="339"/>
      <c r="N986" s="338"/>
      <c r="O986" s="338" t="s">
        <v>410</v>
      </c>
      <c r="P986" s="338" t="s">
        <v>410</v>
      </c>
    </row>
    <row r="987" spans="2:16" x14ac:dyDescent="0.25">
      <c r="B987" s="336" t="s">
        <v>416</v>
      </c>
      <c r="C987" s="337">
        <v>41071</v>
      </c>
      <c r="D987" s="338" t="s">
        <v>7098</v>
      </c>
      <c r="E987" s="338" t="s">
        <v>7097</v>
      </c>
      <c r="F987" s="338" t="s">
        <v>7096</v>
      </c>
      <c r="G987" s="338" t="s">
        <v>413</v>
      </c>
      <c r="H987" s="338" t="s">
        <v>425</v>
      </c>
      <c r="I987" s="338" t="s">
        <v>411</v>
      </c>
      <c r="J987" s="339"/>
      <c r="K987" s="339"/>
      <c r="L987" s="339"/>
      <c r="M987" s="339"/>
      <c r="N987" s="338" t="s">
        <v>432</v>
      </c>
      <c r="O987" s="338" t="s">
        <v>443</v>
      </c>
      <c r="P987" s="338" t="s">
        <v>410</v>
      </c>
    </row>
    <row r="988" spans="2:16" x14ac:dyDescent="0.25">
      <c r="B988" s="336" t="s">
        <v>416</v>
      </c>
      <c r="C988" s="337">
        <v>41071</v>
      </c>
      <c r="D988" s="338" t="s">
        <v>7095</v>
      </c>
      <c r="E988" s="338" t="s">
        <v>7094</v>
      </c>
      <c r="F988" s="338"/>
      <c r="G988" s="338">
        <v>45</v>
      </c>
      <c r="H988" s="338" t="s">
        <v>425</v>
      </c>
      <c r="I988" s="338" t="s">
        <v>411</v>
      </c>
      <c r="J988" s="339"/>
      <c r="K988" s="339"/>
      <c r="L988" s="339" t="s">
        <v>409</v>
      </c>
      <c r="M988" s="339" t="s">
        <v>409</v>
      </c>
      <c r="N988" s="338" t="s">
        <v>417</v>
      </c>
      <c r="O988" s="338" t="s">
        <v>409</v>
      </c>
      <c r="P988" s="338" t="s">
        <v>432</v>
      </c>
    </row>
    <row r="989" spans="2:16" x14ac:dyDescent="0.25">
      <c r="B989" s="336" t="s">
        <v>416</v>
      </c>
      <c r="C989" s="337">
        <v>41068</v>
      </c>
      <c r="D989" s="338" t="s">
        <v>7093</v>
      </c>
      <c r="E989" s="338" t="s">
        <v>808</v>
      </c>
      <c r="F989" s="338" t="s">
        <v>7092</v>
      </c>
      <c r="G989" s="338">
        <v>100</v>
      </c>
      <c r="H989" s="338" t="s">
        <v>425</v>
      </c>
      <c r="I989" s="338" t="s">
        <v>411</v>
      </c>
      <c r="J989" s="339"/>
      <c r="K989" s="339"/>
      <c r="L989" s="339">
        <v>1.03624</v>
      </c>
      <c r="M989" s="339">
        <v>10.1858</v>
      </c>
      <c r="N989" s="338" t="s">
        <v>417</v>
      </c>
      <c r="O989" s="338" t="s">
        <v>417</v>
      </c>
      <c r="P989" s="338" t="s">
        <v>417</v>
      </c>
    </row>
    <row r="990" spans="2:16" x14ac:dyDescent="0.25">
      <c r="B990" s="336" t="s">
        <v>459</v>
      </c>
      <c r="C990" s="337">
        <v>41068</v>
      </c>
      <c r="D990" s="338" t="s">
        <v>5103</v>
      </c>
      <c r="E990" s="338" t="s">
        <v>7091</v>
      </c>
      <c r="F990" s="338"/>
      <c r="G990" s="338">
        <v>36</v>
      </c>
      <c r="H990" s="338" t="s">
        <v>425</v>
      </c>
      <c r="I990" s="338" t="s">
        <v>411</v>
      </c>
      <c r="J990" s="339"/>
      <c r="K990" s="339"/>
      <c r="L990" s="339" t="s">
        <v>409</v>
      </c>
      <c r="M990" s="339" t="s">
        <v>409</v>
      </c>
      <c r="N990" s="338" t="s">
        <v>417</v>
      </c>
      <c r="O990" s="338" t="s">
        <v>409</v>
      </c>
      <c r="P990" s="338"/>
    </row>
    <row r="991" spans="2:16" x14ac:dyDescent="0.25">
      <c r="B991" s="336" t="s">
        <v>416</v>
      </c>
      <c r="C991" s="337">
        <v>41068</v>
      </c>
      <c r="D991" s="338" t="s">
        <v>7090</v>
      </c>
      <c r="E991" s="338" t="s">
        <v>7089</v>
      </c>
      <c r="F991" s="338" t="s">
        <v>7088</v>
      </c>
      <c r="G991" s="338" t="s">
        <v>413</v>
      </c>
      <c r="H991" s="338" t="s">
        <v>412</v>
      </c>
      <c r="I991" s="338" t="s">
        <v>411</v>
      </c>
      <c r="J991" s="339"/>
      <c r="K991" s="339"/>
      <c r="L991" s="339"/>
      <c r="M991" s="339"/>
      <c r="N991" s="338"/>
      <c r="O991" s="338" t="s">
        <v>487</v>
      </c>
      <c r="P991" s="338" t="s">
        <v>487</v>
      </c>
    </row>
    <row r="992" spans="2:16" x14ac:dyDescent="0.25">
      <c r="B992" s="336" t="s">
        <v>459</v>
      </c>
      <c r="C992" s="337">
        <v>41067</v>
      </c>
      <c r="D992" s="338" t="s">
        <v>2513</v>
      </c>
      <c r="E992" s="338" t="s">
        <v>7087</v>
      </c>
      <c r="F992" s="338"/>
      <c r="G992" s="338" t="s">
        <v>413</v>
      </c>
      <c r="H992" s="338" t="s">
        <v>425</v>
      </c>
      <c r="I992" s="338" t="s">
        <v>411</v>
      </c>
      <c r="J992" s="339"/>
      <c r="K992" s="339"/>
      <c r="L992" s="339" t="s">
        <v>409</v>
      </c>
      <c r="M992" s="339" t="s">
        <v>409</v>
      </c>
      <c r="N992" s="338" t="s">
        <v>417</v>
      </c>
      <c r="O992" s="338" t="s">
        <v>409</v>
      </c>
      <c r="P992" s="338"/>
    </row>
    <row r="993" spans="2:16" x14ac:dyDescent="0.25">
      <c r="B993" s="336" t="s">
        <v>459</v>
      </c>
      <c r="C993" s="337">
        <v>41066</v>
      </c>
      <c r="D993" s="338" t="s">
        <v>7086</v>
      </c>
      <c r="E993" s="338" t="s">
        <v>669</v>
      </c>
      <c r="F993" s="338"/>
      <c r="G993" s="338">
        <v>8</v>
      </c>
      <c r="H993" s="338" t="s">
        <v>425</v>
      </c>
      <c r="I993" s="338" t="s">
        <v>411</v>
      </c>
      <c r="J993" s="339"/>
      <c r="K993" s="339"/>
      <c r="L993" s="339" t="s">
        <v>409</v>
      </c>
      <c r="M993" s="339" t="s">
        <v>409</v>
      </c>
      <c r="N993" s="338" t="s">
        <v>417</v>
      </c>
      <c r="O993" s="338" t="s">
        <v>409</v>
      </c>
      <c r="P993" s="338"/>
    </row>
    <row r="994" spans="2:16" x14ac:dyDescent="0.25">
      <c r="B994" s="336" t="s">
        <v>416</v>
      </c>
      <c r="C994" s="337">
        <v>41066</v>
      </c>
      <c r="D994" s="338" t="s">
        <v>7085</v>
      </c>
      <c r="E994" s="338" t="s">
        <v>2987</v>
      </c>
      <c r="F994" s="338"/>
      <c r="G994" s="338" t="s">
        <v>413</v>
      </c>
      <c r="H994" s="338" t="s">
        <v>412</v>
      </c>
      <c r="I994" s="338" t="s">
        <v>411</v>
      </c>
      <c r="J994" s="339"/>
      <c r="K994" s="339"/>
      <c r="L994" s="339" t="s">
        <v>409</v>
      </c>
      <c r="M994" s="339" t="s">
        <v>409</v>
      </c>
      <c r="N994" s="338" t="s">
        <v>443</v>
      </c>
      <c r="O994" s="338" t="s">
        <v>409</v>
      </c>
      <c r="P994" s="338" t="s">
        <v>417</v>
      </c>
    </row>
    <row r="995" spans="2:16" x14ac:dyDescent="0.25">
      <c r="B995" s="336" t="s">
        <v>416</v>
      </c>
      <c r="C995" s="337">
        <v>41066</v>
      </c>
      <c r="D995" s="338" t="s">
        <v>7084</v>
      </c>
      <c r="E995" s="338" t="s">
        <v>7083</v>
      </c>
      <c r="F995" s="338" t="s">
        <v>2987</v>
      </c>
      <c r="G995" s="338" t="s">
        <v>413</v>
      </c>
      <c r="H995" s="338" t="s">
        <v>412</v>
      </c>
      <c r="I995" s="338" t="s">
        <v>411</v>
      </c>
      <c r="J995" s="339"/>
      <c r="K995" s="339"/>
      <c r="L995" s="339"/>
      <c r="M995" s="339"/>
      <c r="N995" s="338"/>
      <c r="O995" s="338" t="s">
        <v>417</v>
      </c>
      <c r="P995" s="338" t="s">
        <v>417</v>
      </c>
    </row>
    <row r="996" spans="2:16" x14ac:dyDescent="0.25">
      <c r="B996" s="336" t="s">
        <v>416</v>
      </c>
      <c r="C996" s="337">
        <v>41065</v>
      </c>
      <c r="D996" s="338" t="s">
        <v>3720</v>
      </c>
      <c r="E996" s="338" t="s">
        <v>736</v>
      </c>
      <c r="F996" s="338"/>
      <c r="G996" s="338">
        <v>2690</v>
      </c>
      <c r="H996" s="338" t="s">
        <v>425</v>
      </c>
      <c r="I996" s="338" t="s">
        <v>411</v>
      </c>
      <c r="J996" s="339"/>
      <c r="K996" s="339"/>
      <c r="L996" s="339" t="s">
        <v>409</v>
      </c>
      <c r="M996" s="339" t="s">
        <v>409</v>
      </c>
      <c r="N996" s="338" t="s">
        <v>417</v>
      </c>
      <c r="O996" s="338" t="s">
        <v>409</v>
      </c>
      <c r="P996" s="338" t="s">
        <v>443</v>
      </c>
    </row>
    <row r="997" spans="2:16" x14ac:dyDescent="0.25">
      <c r="B997" s="336" t="s">
        <v>416</v>
      </c>
      <c r="C997" s="337">
        <v>41065</v>
      </c>
      <c r="D997" s="338" t="s">
        <v>7082</v>
      </c>
      <c r="E997" s="338" t="s">
        <v>7081</v>
      </c>
      <c r="F997" s="338" t="s">
        <v>7080</v>
      </c>
      <c r="G997" s="338" t="s">
        <v>413</v>
      </c>
      <c r="H997" s="338" t="s">
        <v>425</v>
      </c>
      <c r="I997" s="338" t="s">
        <v>411</v>
      </c>
      <c r="J997" s="339"/>
      <c r="K997" s="339"/>
      <c r="L997" s="339"/>
      <c r="M997" s="339"/>
      <c r="N997" s="338"/>
      <c r="O997" s="338" t="s">
        <v>417</v>
      </c>
      <c r="P997" s="338" t="s">
        <v>417</v>
      </c>
    </row>
    <row r="998" spans="2:16" x14ac:dyDescent="0.25">
      <c r="B998" s="336" t="s">
        <v>416</v>
      </c>
      <c r="C998" s="337">
        <v>41065</v>
      </c>
      <c r="D998" s="338" t="s">
        <v>7079</v>
      </c>
      <c r="E998" s="338" t="s">
        <v>7078</v>
      </c>
      <c r="F998" s="338"/>
      <c r="G998" s="338" t="s">
        <v>413</v>
      </c>
      <c r="H998" s="338" t="s">
        <v>412</v>
      </c>
      <c r="I998" s="338" t="s">
        <v>411</v>
      </c>
      <c r="J998" s="339"/>
      <c r="K998" s="339"/>
      <c r="L998" s="339" t="s">
        <v>409</v>
      </c>
      <c r="M998" s="339" t="s">
        <v>409</v>
      </c>
      <c r="N998" s="338" t="s">
        <v>417</v>
      </c>
      <c r="O998" s="338" t="s">
        <v>409</v>
      </c>
      <c r="P998" s="338" t="s">
        <v>417</v>
      </c>
    </row>
    <row r="999" spans="2:16" x14ac:dyDescent="0.25">
      <c r="B999" s="336" t="s">
        <v>459</v>
      </c>
      <c r="C999" s="337">
        <v>41065</v>
      </c>
      <c r="D999" s="338" t="s">
        <v>7077</v>
      </c>
      <c r="E999" s="338" t="s">
        <v>804</v>
      </c>
      <c r="F999" s="338"/>
      <c r="G999" s="338" t="s">
        <v>413</v>
      </c>
      <c r="H999" s="338" t="s">
        <v>425</v>
      </c>
      <c r="I999" s="338" t="s">
        <v>411</v>
      </c>
      <c r="J999" s="339"/>
      <c r="K999" s="339"/>
      <c r="L999" s="339" t="s">
        <v>409</v>
      </c>
      <c r="M999" s="339" t="s">
        <v>409</v>
      </c>
      <c r="N999" s="338" t="s">
        <v>417</v>
      </c>
      <c r="O999" s="338" t="s">
        <v>409</v>
      </c>
      <c r="P999" s="338" t="s">
        <v>443</v>
      </c>
    </row>
    <row r="1000" spans="2:16" x14ac:dyDescent="0.25">
      <c r="B1000" s="336" t="s">
        <v>416</v>
      </c>
      <c r="C1000" s="337">
        <v>41065</v>
      </c>
      <c r="D1000" s="338" t="s">
        <v>945</v>
      </c>
      <c r="E1000" s="338" t="s">
        <v>7076</v>
      </c>
      <c r="F1000" s="338" t="s">
        <v>7075</v>
      </c>
      <c r="G1000" s="338">
        <v>1.42</v>
      </c>
      <c r="H1000" s="338" t="s">
        <v>425</v>
      </c>
      <c r="I1000" s="338" t="s">
        <v>411</v>
      </c>
      <c r="J1000" s="339"/>
      <c r="K1000" s="339"/>
      <c r="L1000" s="339"/>
      <c r="M1000" s="339"/>
      <c r="N1000" s="338"/>
      <c r="O1000" s="338" t="s">
        <v>417</v>
      </c>
      <c r="P1000" s="338" t="s">
        <v>605</v>
      </c>
    </row>
    <row r="1001" spans="2:16" x14ac:dyDescent="0.25">
      <c r="B1001" s="336" t="s">
        <v>416</v>
      </c>
      <c r="C1001" s="337">
        <v>41065</v>
      </c>
      <c r="D1001" s="338" t="s">
        <v>2839</v>
      </c>
      <c r="E1001" s="338" t="s">
        <v>423</v>
      </c>
      <c r="F1001" s="338"/>
      <c r="G1001" s="338">
        <v>47.49</v>
      </c>
      <c r="H1001" s="338" t="s">
        <v>425</v>
      </c>
      <c r="I1001" s="338" t="s">
        <v>1243</v>
      </c>
      <c r="J1001" s="339">
        <v>0.40218500000000001</v>
      </c>
      <c r="K1001" s="339">
        <v>11.9299</v>
      </c>
      <c r="L1001" s="339" t="s">
        <v>409</v>
      </c>
      <c r="M1001" s="339" t="s">
        <v>409</v>
      </c>
      <c r="N1001" s="338" t="s">
        <v>417</v>
      </c>
      <c r="O1001" s="338" t="s">
        <v>409</v>
      </c>
      <c r="P1001" s="338"/>
    </row>
    <row r="1002" spans="2:16" x14ac:dyDescent="0.25">
      <c r="B1002" s="336" t="s">
        <v>459</v>
      </c>
      <c r="C1002" s="337">
        <v>41065</v>
      </c>
      <c r="D1002" s="338" t="s">
        <v>1578</v>
      </c>
      <c r="E1002" s="338" t="s">
        <v>736</v>
      </c>
      <c r="F1002" s="338" t="s">
        <v>7074</v>
      </c>
      <c r="G1002" s="338">
        <v>2690</v>
      </c>
      <c r="H1002" s="338" t="s">
        <v>425</v>
      </c>
      <c r="I1002" s="338" t="s">
        <v>411</v>
      </c>
      <c r="J1002" s="339">
        <v>0.55852599999999997</v>
      </c>
      <c r="K1002" s="339">
        <v>12.6578</v>
      </c>
      <c r="L1002" s="339"/>
      <c r="M1002" s="339"/>
      <c r="N1002" s="338" t="s">
        <v>417</v>
      </c>
      <c r="O1002" s="338"/>
      <c r="P1002" s="338" t="s">
        <v>443</v>
      </c>
    </row>
    <row r="1003" spans="2:16" x14ac:dyDescent="0.25">
      <c r="B1003" s="336" t="s">
        <v>416</v>
      </c>
      <c r="C1003" s="337">
        <v>41064</v>
      </c>
      <c r="D1003" s="338" t="s">
        <v>7073</v>
      </c>
      <c r="E1003" s="338" t="s">
        <v>6518</v>
      </c>
      <c r="F1003" s="338"/>
      <c r="G1003" s="338" t="s">
        <v>413</v>
      </c>
      <c r="H1003" s="338" t="s">
        <v>425</v>
      </c>
      <c r="I1003" s="338" t="s">
        <v>411</v>
      </c>
      <c r="J1003" s="339"/>
      <c r="K1003" s="339"/>
      <c r="L1003" s="339" t="s">
        <v>409</v>
      </c>
      <c r="M1003" s="339" t="s">
        <v>409</v>
      </c>
      <c r="N1003" s="338"/>
      <c r="O1003" s="338" t="s">
        <v>409</v>
      </c>
      <c r="P1003" s="338" t="s">
        <v>417</v>
      </c>
    </row>
    <row r="1004" spans="2:16" x14ac:dyDescent="0.25">
      <c r="B1004" s="336" t="s">
        <v>416</v>
      </c>
      <c r="C1004" s="337">
        <v>41064</v>
      </c>
      <c r="D1004" s="338" t="s">
        <v>7072</v>
      </c>
      <c r="E1004" s="338" t="s">
        <v>7071</v>
      </c>
      <c r="F1004" s="338"/>
      <c r="G1004" s="338" t="s">
        <v>413</v>
      </c>
      <c r="H1004" s="338" t="s">
        <v>412</v>
      </c>
      <c r="I1004" s="338" t="s">
        <v>411</v>
      </c>
      <c r="J1004" s="339"/>
      <c r="K1004" s="339"/>
      <c r="L1004" s="339" t="s">
        <v>409</v>
      </c>
      <c r="M1004" s="339" t="s">
        <v>409</v>
      </c>
      <c r="N1004" s="338" t="s">
        <v>417</v>
      </c>
      <c r="O1004" s="338" t="s">
        <v>409</v>
      </c>
      <c r="P1004" s="338" t="s">
        <v>417</v>
      </c>
    </row>
    <row r="1005" spans="2:16" x14ac:dyDescent="0.25">
      <c r="B1005" s="336" t="s">
        <v>416</v>
      </c>
      <c r="C1005" s="337">
        <v>41064</v>
      </c>
      <c r="D1005" s="338" t="s">
        <v>7070</v>
      </c>
      <c r="E1005" s="338" t="s">
        <v>1079</v>
      </c>
      <c r="F1005" s="338"/>
      <c r="G1005" s="338">
        <v>100</v>
      </c>
      <c r="H1005" s="338" t="s">
        <v>425</v>
      </c>
      <c r="I1005" s="338" t="s">
        <v>411</v>
      </c>
      <c r="J1005" s="339"/>
      <c r="K1005" s="339"/>
      <c r="L1005" s="339" t="s">
        <v>409</v>
      </c>
      <c r="M1005" s="339" t="s">
        <v>409</v>
      </c>
      <c r="N1005" s="338" t="s">
        <v>410</v>
      </c>
      <c r="O1005" s="338" t="s">
        <v>409</v>
      </c>
      <c r="P1005" s="338" t="s">
        <v>417</v>
      </c>
    </row>
    <row r="1006" spans="2:16" x14ac:dyDescent="0.25">
      <c r="B1006" s="336" t="s">
        <v>416</v>
      </c>
      <c r="C1006" s="337">
        <v>41064</v>
      </c>
      <c r="D1006" s="338" t="s">
        <v>7069</v>
      </c>
      <c r="E1006" s="338" t="s">
        <v>463</v>
      </c>
      <c r="F1006" s="338"/>
      <c r="G1006" s="338" t="s">
        <v>413</v>
      </c>
      <c r="H1006" s="338" t="s">
        <v>412</v>
      </c>
      <c r="I1006" s="338" t="s">
        <v>411</v>
      </c>
      <c r="J1006" s="339"/>
      <c r="K1006" s="339"/>
      <c r="L1006" s="339" t="s">
        <v>409</v>
      </c>
      <c r="M1006" s="339" t="s">
        <v>409</v>
      </c>
      <c r="N1006" s="338"/>
      <c r="O1006" s="338" t="s">
        <v>409</v>
      </c>
      <c r="P1006" s="338" t="s">
        <v>417</v>
      </c>
    </row>
    <row r="1007" spans="2:16" x14ac:dyDescent="0.25">
      <c r="B1007" s="336" t="s">
        <v>416</v>
      </c>
      <c r="C1007" s="337">
        <v>41064</v>
      </c>
      <c r="D1007" s="338" t="s">
        <v>7068</v>
      </c>
      <c r="E1007" s="338" t="s">
        <v>7043</v>
      </c>
      <c r="F1007" s="338"/>
      <c r="G1007" s="338" t="s">
        <v>413</v>
      </c>
      <c r="H1007" s="338" t="s">
        <v>412</v>
      </c>
      <c r="I1007" s="338" t="s">
        <v>411</v>
      </c>
      <c r="J1007" s="339"/>
      <c r="K1007" s="339"/>
      <c r="L1007" s="339" t="s">
        <v>409</v>
      </c>
      <c r="M1007" s="339" t="s">
        <v>409</v>
      </c>
      <c r="N1007" s="338" t="s">
        <v>417</v>
      </c>
      <c r="O1007" s="338" t="s">
        <v>409</v>
      </c>
      <c r="P1007" s="338" t="s">
        <v>417</v>
      </c>
    </row>
    <row r="1008" spans="2:16" x14ac:dyDescent="0.25">
      <c r="B1008" s="336" t="s">
        <v>416</v>
      </c>
      <c r="C1008" s="337">
        <v>41061</v>
      </c>
      <c r="D1008" s="338" t="s">
        <v>7067</v>
      </c>
      <c r="E1008" s="338" t="s">
        <v>7066</v>
      </c>
      <c r="F1008" s="338" t="s">
        <v>1060</v>
      </c>
      <c r="G1008" s="338">
        <v>14.9</v>
      </c>
      <c r="H1008" s="338" t="s">
        <v>425</v>
      </c>
      <c r="I1008" s="338" t="s">
        <v>411</v>
      </c>
      <c r="J1008" s="339"/>
      <c r="K1008" s="339"/>
      <c r="L1008" s="339"/>
      <c r="M1008" s="339"/>
      <c r="N1008" s="338"/>
      <c r="O1008" s="338" t="s">
        <v>443</v>
      </c>
      <c r="P1008" s="338" t="s">
        <v>410</v>
      </c>
    </row>
    <row r="1009" spans="2:16" x14ac:dyDescent="0.25">
      <c r="B1009" s="336" t="s">
        <v>459</v>
      </c>
      <c r="C1009" s="337">
        <v>41061</v>
      </c>
      <c r="D1009" s="338" t="s">
        <v>7065</v>
      </c>
      <c r="E1009" s="338" t="s">
        <v>889</v>
      </c>
      <c r="F1009" s="338"/>
      <c r="G1009" s="338" t="s">
        <v>413</v>
      </c>
      <c r="H1009" s="338" t="s">
        <v>425</v>
      </c>
      <c r="I1009" s="338" t="s">
        <v>411</v>
      </c>
      <c r="J1009" s="339"/>
      <c r="K1009" s="339"/>
      <c r="L1009" s="339" t="s">
        <v>409</v>
      </c>
      <c r="M1009" s="339" t="s">
        <v>409</v>
      </c>
      <c r="N1009" s="338" t="s">
        <v>410</v>
      </c>
      <c r="O1009" s="338" t="s">
        <v>409</v>
      </c>
      <c r="P1009" s="338" t="s">
        <v>410</v>
      </c>
    </row>
    <row r="1010" spans="2:16" x14ac:dyDescent="0.25">
      <c r="B1010" s="336" t="s">
        <v>416</v>
      </c>
      <c r="C1010" s="337">
        <v>41061</v>
      </c>
      <c r="D1010" s="338" t="s">
        <v>7064</v>
      </c>
      <c r="E1010" s="338" t="s">
        <v>3176</v>
      </c>
      <c r="F1010" s="338"/>
      <c r="G1010" s="338">
        <v>105</v>
      </c>
      <c r="H1010" s="338" t="s">
        <v>425</v>
      </c>
      <c r="I1010" s="338" t="s">
        <v>411</v>
      </c>
      <c r="J1010" s="339"/>
      <c r="K1010" s="339"/>
      <c r="L1010" s="339" t="s">
        <v>409</v>
      </c>
      <c r="M1010" s="339" t="s">
        <v>409</v>
      </c>
      <c r="N1010" s="338" t="s">
        <v>417</v>
      </c>
      <c r="O1010" s="338" t="s">
        <v>409</v>
      </c>
      <c r="P1010" s="338" t="s">
        <v>417</v>
      </c>
    </row>
    <row r="1011" spans="2:16" x14ac:dyDescent="0.25">
      <c r="B1011" s="336" t="s">
        <v>416</v>
      </c>
      <c r="C1011" s="337">
        <v>41060</v>
      </c>
      <c r="D1011" s="338" t="s">
        <v>7063</v>
      </c>
      <c r="E1011" s="338" t="s">
        <v>2399</v>
      </c>
      <c r="F1011" s="338" t="s">
        <v>7062</v>
      </c>
      <c r="G1011" s="338" t="s">
        <v>413</v>
      </c>
      <c r="H1011" s="338" t="s">
        <v>412</v>
      </c>
      <c r="I1011" s="338" t="s">
        <v>411</v>
      </c>
      <c r="J1011" s="339"/>
      <c r="K1011" s="339"/>
      <c r="L1011" s="339"/>
      <c r="M1011" s="339"/>
      <c r="N1011" s="338"/>
      <c r="O1011" s="338" t="s">
        <v>417</v>
      </c>
      <c r="P1011" s="338" t="s">
        <v>410</v>
      </c>
    </row>
    <row r="1012" spans="2:16" x14ac:dyDescent="0.25">
      <c r="B1012" s="336" t="s">
        <v>416</v>
      </c>
      <c r="C1012" s="337">
        <v>41060</v>
      </c>
      <c r="D1012" s="338" t="s">
        <v>7061</v>
      </c>
      <c r="E1012" s="338" t="s">
        <v>3495</v>
      </c>
      <c r="F1012" s="338"/>
      <c r="G1012" s="338" t="s">
        <v>413</v>
      </c>
      <c r="H1012" s="338" t="s">
        <v>412</v>
      </c>
      <c r="I1012" s="338" t="s">
        <v>411</v>
      </c>
      <c r="J1012" s="339"/>
      <c r="K1012" s="339"/>
      <c r="L1012" s="339" t="s">
        <v>409</v>
      </c>
      <c r="M1012" s="339" t="s">
        <v>409</v>
      </c>
      <c r="N1012" s="338" t="s">
        <v>417</v>
      </c>
      <c r="O1012" s="338" t="s">
        <v>409</v>
      </c>
      <c r="P1012" s="338" t="s">
        <v>443</v>
      </c>
    </row>
    <row r="1013" spans="2:16" x14ac:dyDescent="0.25">
      <c r="B1013" s="336" t="s">
        <v>416</v>
      </c>
      <c r="C1013" s="337">
        <v>41060</v>
      </c>
      <c r="D1013" s="338" t="s">
        <v>7060</v>
      </c>
      <c r="E1013" s="338" t="s">
        <v>5155</v>
      </c>
      <c r="F1013" s="338" t="s">
        <v>6635</v>
      </c>
      <c r="G1013" s="338">
        <v>0.9</v>
      </c>
      <c r="H1013" s="338" t="s">
        <v>425</v>
      </c>
      <c r="I1013" s="338" t="s">
        <v>411</v>
      </c>
      <c r="J1013" s="339"/>
      <c r="K1013" s="339"/>
      <c r="L1013" s="339"/>
      <c r="M1013" s="339"/>
      <c r="N1013" s="338"/>
      <c r="O1013" s="338" t="s">
        <v>612</v>
      </c>
      <c r="P1013" s="338" t="s">
        <v>417</v>
      </c>
    </row>
    <row r="1014" spans="2:16" x14ac:dyDescent="0.25">
      <c r="B1014" s="336" t="s">
        <v>416</v>
      </c>
      <c r="C1014" s="337">
        <v>41059</v>
      </c>
      <c r="D1014" s="338" t="s">
        <v>7059</v>
      </c>
      <c r="E1014" s="338" t="s">
        <v>7058</v>
      </c>
      <c r="F1014" s="338" t="s">
        <v>7057</v>
      </c>
      <c r="G1014" s="338" t="s">
        <v>413</v>
      </c>
      <c r="H1014" s="338" t="s">
        <v>412</v>
      </c>
      <c r="I1014" s="338" t="s">
        <v>411</v>
      </c>
      <c r="J1014" s="339"/>
      <c r="K1014" s="339"/>
      <c r="L1014" s="339"/>
      <c r="M1014" s="339"/>
      <c r="N1014" s="338" t="s">
        <v>417</v>
      </c>
      <c r="O1014" s="338" t="s">
        <v>410</v>
      </c>
      <c r="P1014" s="338" t="s">
        <v>417</v>
      </c>
    </row>
    <row r="1015" spans="2:16" x14ac:dyDescent="0.25">
      <c r="B1015" s="336" t="s">
        <v>416</v>
      </c>
      <c r="C1015" s="337">
        <v>41059</v>
      </c>
      <c r="D1015" s="338" t="s">
        <v>3488</v>
      </c>
      <c r="E1015" s="338" t="s">
        <v>2773</v>
      </c>
      <c r="F1015" s="338" t="s">
        <v>7056</v>
      </c>
      <c r="G1015" s="338">
        <v>2.75</v>
      </c>
      <c r="H1015" s="338" t="s">
        <v>425</v>
      </c>
      <c r="I1015" s="338" t="s">
        <v>411</v>
      </c>
      <c r="J1015" s="339"/>
      <c r="K1015" s="339"/>
      <c r="L1015" s="339">
        <v>13.0106</v>
      </c>
      <c r="M1015" s="339">
        <v>16.707899999999999</v>
      </c>
      <c r="N1015" s="338"/>
      <c r="O1015" s="338" t="s">
        <v>443</v>
      </c>
      <c r="P1015" s="338" t="s">
        <v>417</v>
      </c>
    </row>
    <row r="1016" spans="2:16" x14ac:dyDescent="0.25">
      <c r="B1016" s="336" t="s">
        <v>416</v>
      </c>
      <c r="C1016" s="337">
        <v>41058</v>
      </c>
      <c r="D1016" s="338" t="s">
        <v>2647</v>
      </c>
      <c r="E1016" s="338" t="s">
        <v>2949</v>
      </c>
      <c r="F1016" s="338" t="s">
        <v>2646</v>
      </c>
      <c r="G1016" s="338">
        <v>295</v>
      </c>
      <c r="H1016" s="338" t="s">
        <v>425</v>
      </c>
      <c r="I1016" s="338" t="s">
        <v>411</v>
      </c>
      <c r="J1016" s="339"/>
      <c r="K1016" s="339"/>
      <c r="L1016" s="339"/>
      <c r="M1016" s="339"/>
      <c r="N1016" s="338" t="s">
        <v>417</v>
      </c>
      <c r="O1016" s="338"/>
      <c r="P1016" s="338" t="s">
        <v>443</v>
      </c>
    </row>
    <row r="1017" spans="2:16" x14ac:dyDescent="0.25">
      <c r="B1017" s="336" t="s">
        <v>416</v>
      </c>
      <c r="C1017" s="337">
        <v>41058</v>
      </c>
      <c r="D1017" s="338" t="s">
        <v>7055</v>
      </c>
      <c r="E1017" s="338" t="s">
        <v>7054</v>
      </c>
      <c r="F1017" s="338" t="s">
        <v>3494</v>
      </c>
      <c r="G1017" s="338">
        <v>26</v>
      </c>
      <c r="H1017" s="338" t="s">
        <v>425</v>
      </c>
      <c r="I1017" s="338" t="s">
        <v>411</v>
      </c>
      <c r="J1017" s="339"/>
      <c r="K1017" s="339"/>
      <c r="L1017" s="339">
        <v>4.4746899999999998</v>
      </c>
      <c r="M1017" s="339">
        <v>11.501300000000001</v>
      </c>
      <c r="N1017" s="338"/>
      <c r="O1017" s="338" t="s">
        <v>417</v>
      </c>
      <c r="P1017" s="338" t="s">
        <v>443</v>
      </c>
    </row>
    <row r="1018" spans="2:16" x14ac:dyDescent="0.25">
      <c r="B1018" s="336" t="s">
        <v>416</v>
      </c>
      <c r="C1018" s="337">
        <v>41053</v>
      </c>
      <c r="D1018" s="338" t="s">
        <v>945</v>
      </c>
      <c r="E1018" s="338" t="s">
        <v>6472</v>
      </c>
      <c r="F1018" s="338" t="s">
        <v>7053</v>
      </c>
      <c r="G1018" s="338" t="s">
        <v>413</v>
      </c>
      <c r="H1018" s="338" t="s">
        <v>425</v>
      </c>
      <c r="I1018" s="338" t="s">
        <v>411</v>
      </c>
      <c r="J1018" s="339"/>
      <c r="K1018" s="339"/>
      <c r="L1018" s="339"/>
      <c r="M1018" s="339"/>
      <c r="N1018" s="338"/>
      <c r="O1018" s="338" t="s">
        <v>417</v>
      </c>
      <c r="P1018" s="338" t="s">
        <v>443</v>
      </c>
    </row>
    <row r="1019" spans="2:16" x14ac:dyDescent="0.25">
      <c r="B1019" s="336" t="s">
        <v>416</v>
      </c>
      <c r="C1019" s="337">
        <v>41052</v>
      </c>
      <c r="D1019" s="338" t="s">
        <v>7052</v>
      </c>
      <c r="E1019" s="338" t="s">
        <v>7050</v>
      </c>
      <c r="F1019" s="338"/>
      <c r="G1019" s="338" t="s">
        <v>413</v>
      </c>
      <c r="H1019" s="338" t="s">
        <v>412</v>
      </c>
      <c r="I1019" s="338" t="s">
        <v>411</v>
      </c>
      <c r="J1019" s="339"/>
      <c r="K1019" s="339"/>
      <c r="L1019" s="339" t="s">
        <v>409</v>
      </c>
      <c r="M1019" s="339" t="s">
        <v>409</v>
      </c>
      <c r="N1019" s="338" t="s">
        <v>432</v>
      </c>
      <c r="O1019" s="338" t="s">
        <v>409</v>
      </c>
      <c r="P1019" s="338" t="s">
        <v>417</v>
      </c>
    </row>
    <row r="1020" spans="2:16" x14ac:dyDescent="0.25">
      <c r="B1020" s="336" t="s">
        <v>416</v>
      </c>
      <c r="C1020" s="337">
        <v>41052</v>
      </c>
      <c r="D1020" s="338" t="s">
        <v>7051</v>
      </c>
      <c r="E1020" s="338" t="s">
        <v>7050</v>
      </c>
      <c r="F1020" s="338"/>
      <c r="G1020" s="338" t="s">
        <v>413</v>
      </c>
      <c r="H1020" s="338" t="s">
        <v>412</v>
      </c>
      <c r="I1020" s="338" t="s">
        <v>411</v>
      </c>
      <c r="J1020" s="339"/>
      <c r="K1020" s="339"/>
      <c r="L1020" s="339" t="s">
        <v>409</v>
      </c>
      <c r="M1020" s="339" t="s">
        <v>409</v>
      </c>
      <c r="N1020" s="338" t="s">
        <v>432</v>
      </c>
      <c r="O1020" s="338" t="s">
        <v>409</v>
      </c>
      <c r="P1020" s="338" t="s">
        <v>417</v>
      </c>
    </row>
    <row r="1021" spans="2:16" x14ac:dyDescent="0.25">
      <c r="B1021" s="336" t="s">
        <v>416</v>
      </c>
      <c r="C1021" s="337">
        <v>41051</v>
      </c>
      <c r="D1021" s="338" t="s">
        <v>1722</v>
      </c>
      <c r="E1021" s="338" t="s">
        <v>2504</v>
      </c>
      <c r="F1021" s="338"/>
      <c r="G1021" s="338">
        <v>275.93</v>
      </c>
      <c r="H1021" s="338" t="s">
        <v>425</v>
      </c>
      <c r="I1021" s="338" t="s">
        <v>411</v>
      </c>
      <c r="J1021" s="339">
        <v>0.60245800000000005</v>
      </c>
      <c r="K1021" s="339">
        <v>7.8284399999999996</v>
      </c>
      <c r="L1021" s="339" t="s">
        <v>409</v>
      </c>
      <c r="M1021" s="339" t="s">
        <v>409</v>
      </c>
      <c r="N1021" s="338" t="s">
        <v>417</v>
      </c>
      <c r="O1021" s="338" t="s">
        <v>409</v>
      </c>
      <c r="P1021" s="338" t="s">
        <v>443</v>
      </c>
    </row>
    <row r="1022" spans="2:16" x14ac:dyDescent="0.25">
      <c r="B1022" s="336" t="s">
        <v>416</v>
      </c>
      <c r="C1022" s="337">
        <v>41051</v>
      </c>
      <c r="D1022" s="338" t="s">
        <v>7049</v>
      </c>
      <c r="E1022" s="338" t="s">
        <v>5561</v>
      </c>
      <c r="F1022" s="338" t="s">
        <v>7048</v>
      </c>
      <c r="G1022" s="338" t="s">
        <v>413</v>
      </c>
      <c r="H1022" s="338" t="s">
        <v>412</v>
      </c>
      <c r="I1022" s="338" t="s">
        <v>411</v>
      </c>
      <c r="J1022" s="339"/>
      <c r="K1022" s="339"/>
      <c r="L1022" s="339"/>
      <c r="M1022" s="339"/>
      <c r="N1022" s="338"/>
      <c r="O1022" s="338" t="s">
        <v>417</v>
      </c>
      <c r="P1022" s="338" t="s">
        <v>417</v>
      </c>
    </row>
    <row r="1023" spans="2:16" x14ac:dyDescent="0.25">
      <c r="B1023" s="336" t="s">
        <v>416</v>
      </c>
      <c r="C1023" s="337">
        <v>41051</v>
      </c>
      <c r="D1023" s="338" t="s">
        <v>7047</v>
      </c>
      <c r="E1023" s="338" t="s">
        <v>874</v>
      </c>
      <c r="F1023" s="338"/>
      <c r="G1023" s="338" t="s">
        <v>413</v>
      </c>
      <c r="H1023" s="338" t="s">
        <v>412</v>
      </c>
      <c r="I1023" s="338" t="s">
        <v>411</v>
      </c>
      <c r="J1023" s="339"/>
      <c r="K1023" s="339"/>
      <c r="L1023" s="339" t="s">
        <v>409</v>
      </c>
      <c r="M1023" s="339" t="s">
        <v>409</v>
      </c>
      <c r="N1023" s="338" t="s">
        <v>410</v>
      </c>
      <c r="O1023" s="338" t="s">
        <v>409</v>
      </c>
      <c r="P1023" s="338" t="s">
        <v>417</v>
      </c>
    </row>
    <row r="1024" spans="2:16" x14ac:dyDescent="0.25">
      <c r="B1024" s="336" t="s">
        <v>416</v>
      </c>
      <c r="C1024" s="337">
        <v>41050</v>
      </c>
      <c r="D1024" s="338" t="s">
        <v>5623</v>
      </c>
      <c r="E1024" s="338" t="s">
        <v>7046</v>
      </c>
      <c r="F1024" s="338" t="s">
        <v>7045</v>
      </c>
      <c r="G1024" s="338">
        <v>2600</v>
      </c>
      <c r="H1024" s="338" t="s">
        <v>425</v>
      </c>
      <c r="I1024" s="338" t="s">
        <v>411</v>
      </c>
      <c r="J1024" s="339"/>
      <c r="K1024" s="339"/>
      <c r="L1024" s="339"/>
      <c r="M1024" s="339"/>
      <c r="N1024" s="338" t="s">
        <v>417</v>
      </c>
      <c r="O1024" s="338"/>
      <c r="P1024" s="338" t="s">
        <v>543</v>
      </c>
    </row>
    <row r="1025" spans="2:16" x14ac:dyDescent="0.25">
      <c r="B1025" s="336" t="s">
        <v>416</v>
      </c>
      <c r="C1025" s="337">
        <v>41050</v>
      </c>
      <c r="D1025" s="338" t="s">
        <v>7044</v>
      </c>
      <c r="E1025" s="338" t="s">
        <v>7043</v>
      </c>
      <c r="F1025" s="338"/>
      <c r="G1025" s="338" t="s">
        <v>413</v>
      </c>
      <c r="H1025" s="338" t="s">
        <v>412</v>
      </c>
      <c r="I1025" s="338" t="s">
        <v>411</v>
      </c>
      <c r="J1025" s="339"/>
      <c r="K1025" s="339"/>
      <c r="L1025" s="339" t="s">
        <v>409</v>
      </c>
      <c r="M1025" s="339" t="s">
        <v>409</v>
      </c>
      <c r="N1025" s="338" t="s">
        <v>417</v>
      </c>
      <c r="O1025" s="338" t="s">
        <v>409</v>
      </c>
      <c r="P1025" s="338" t="s">
        <v>417</v>
      </c>
    </row>
    <row r="1026" spans="2:16" x14ac:dyDescent="0.25">
      <c r="B1026" s="336" t="s">
        <v>416</v>
      </c>
      <c r="C1026" s="337">
        <v>41050</v>
      </c>
      <c r="D1026" s="338" t="s">
        <v>7042</v>
      </c>
      <c r="E1026" s="338" t="s">
        <v>7041</v>
      </c>
      <c r="F1026" s="338"/>
      <c r="G1026" s="338" t="s">
        <v>413</v>
      </c>
      <c r="H1026" s="338" t="s">
        <v>412</v>
      </c>
      <c r="I1026" s="338" t="s">
        <v>411</v>
      </c>
      <c r="J1026" s="339"/>
      <c r="K1026" s="339"/>
      <c r="L1026" s="339" t="s">
        <v>409</v>
      </c>
      <c r="M1026" s="339" t="s">
        <v>409</v>
      </c>
      <c r="N1026" s="338" t="s">
        <v>417</v>
      </c>
      <c r="O1026" s="338" t="s">
        <v>409</v>
      </c>
      <c r="P1026" s="338" t="s">
        <v>417</v>
      </c>
    </row>
    <row r="1027" spans="2:16" x14ac:dyDescent="0.25">
      <c r="B1027" s="336" t="s">
        <v>541</v>
      </c>
      <c r="C1027" s="337">
        <v>41046</v>
      </c>
      <c r="D1027" s="338" t="s">
        <v>843</v>
      </c>
      <c r="E1027" s="338" t="s">
        <v>539</v>
      </c>
      <c r="F1027" s="338" t="s">
        <v>672</v>
      </c>
      <c r="G1027" s="338">
        <v>506.63</v>
      </c>
      <c r="H1027" s="338"/>
      <c r="I1027" s="338" t="s">
        <v>411</v>
      </c>
      <c r="J1027" s="339">
        <v>0.30612499999999998</v>
      </c>
      <c r="K1027" s="339">
        <v>49.310099999999998</v>
      </c>
      <c r="L1027" s="339">
        <v>0.20780999999999999</v>
      </c>
      <c r="M1027" s="339"/>
      <c r="N1027" s="338" t="s">
        <v>417</v>
      </c>
      <c r="O1027" s="338" t="s">
        <v>417</v>
      </c>
      <c r="P1027" s="338" t="s">
        <v>409</v>
      </c>
    </row>
    <row r="1028" spans="2:16" x14ac:dyDescent="0.25">
      <c r="B1028" s="336" t="s">
        <v>416</v>
      </c>
      <c r="C1028" s="337">
        <v>41045</v>
      </c>
      <c r="D1028" s="338" t="s">
        <v>5022</v>
      </c>
      <c r="E1028" s="338" t="s">
        <v>2303</v>
      </c>
      <c r="F1028" s="338" t="s">
        <v>7040</v>
      </c>
      <c r="G1028" s="338">
        <v>1450</v>
      </c>
      <c r="H1028" s="338" t="s">
        <v>425</v>
      </c>
      <c r="I1028" s="338" t="s">
        <v>411</v>
      </c>
      <c r="J1028" s="339"/>
      <c r="K1028" s="339"/>
      <c r="L1028" s="339"/>
      <c r="M1028" s="339"/>
      <c r="N1028" s="338" t="s">
        <v>417</v>
      </c>
      <c r="O1028" s="338" t="s">
        <v>417</v>
      </c>
      <c r="P1028" s="338" t="s">
        <v>417</v>
      </c>
    </row>
    <row r="1029" spans="2:16" x14ac:dyDescent="0.25">
      <c r="B1029" s="336" t="s">
        <v>416</v>
      </c>
      <c r="C1029" s="337">
        <v>41045</v>
      </c>
      <c r="D1029" s="338" t="s">
        <v>7039</v>
      </c>
      <c r="E1029" s="338" t="s">
        <v>7038</v>
      </c>
      <c r="F1029" s="338"/>
      <c r="G1029" s="338" t="s">
        <v>413</v>
      </c>
      <c r="H1029" s="338" t="s">
        <v>412</v>
      </c>
      <c r="I1029" s="338" t="s">
        <v>411</v>
      </c>
      <c r="J1029" s="339"/>
      <c r="K1029" s="339"/>
      <c r="L1029" s="339" t="s">
        <v>409</v>
      </c>
      <c r="M1029" s="339" t="s">
        <v>409</v>
      </c>
      <c r="N1029" s="338" t="s">
        <v>432</v>
      </c>
      <c r="O1029" s="338" t="s">
        <v>409</v>
      </c>
      <c r="P1029" s="338" t="s">
        <v>605</v>
      </c>
    </row>
    <row r="1030" spans="2:16" x14ac:dyDescent="0.25">
      <c r="B1030" s="336" t="s">
        <v>416</v>
      </c>
      <c r="C1030" s="337">
        <v>41045</v>
      </c>
      <c r="D1030" s="338" t="s">
        <v>7037</v>
      </c>
      <c r="E1030" s="338" t="s">
        <v>7036</v>
      </c>
      <c r="F1030" s="338"/>
      <c r="G1030" s="338" t="s">
        <v>413</v>
      </c>
      <c r="H1030" s="338" t="s">
        <v>412</v>
      </c>
      <c r="I1030" s="338" t="s">
        <v>411</v>
      </c>
      <c r="J1030" s="339"/>
      <c r="K1030" s="339"/>
      <c r="L1030" s="339" t="s">
        <v>409</v>
      </c>
      <c r="M1030" s="339" t="s">
        <v>409</v>
      </c>
      <c r="N1030" s="338" t="s">
        <v>410</v>
      </c>
      <c r="O1030" s="338" t="s">
        <v>409</v>
      </c>
      <c r="P1030" s="338" t="s">
        <v>410</v>
      </c>
    </row>
    <row r="1031" spans="2:16" x14ac:dyDescent="0.25">
      <c r="B1031" s="336" t="s">
        <v>416</v>
      </c>
      <c r="C1031" s="337">
        <v>41044</v>
      </c>
      <c r="D1031" s="338" t="s">
        <v>7035</v>
      </c>
      <c r="E1031" s="338" t="s">
        <v>7034</v>
      </c>
      <c r="F1031" s="338"/>
      <c r="G1031" s="338" t="s">
        <v>413</v>
      </c>
      <c r="H1031" s="338" t="s">
        <v>336</v>
      </c>
      <c r="I1031" s="338" t="s">
        <v>411</v>
      </c>
      <c r="J1031" s="339"/>
      <c r="K1031" s="339"/>
      <c r="L1031" s="339" t="s">
        <v>409</v>
      </c>
      <c r="M1031" s="339" t="s">
        <v>409</v>
      </c>
      <c r="N1031" s="338" t="s">
        <v>605</v>
      </c>
      <c r="O1031" s="338" t="s">
        <v>409</v>
      </c>
      <c r="P1031" s="338" t="s">
        <v>417</v>
      </c>
    </row>
    <row r="1032" spans="2:16" x14ac:dyDescent="0.25">
      <c r="B1032" s="336" t="s">
        <v>416</v>
      </c>
      <c r="C1032" s="337">
        <v>41044</v>
      </c>
      <c r="D1032" s="338" t="s">
        <v>7033</v>
      </c>
      <c r="E1032" s="338" t="s">
        <v>831</v>
      </c>
      <c r="F1032" s="338"/>
      <c r="G1032" s="338" t="s">
        <v>413</v>
      </c>
      <c r="H1032" s="338" t="s">
        <v>412</v>
      </c>
      <c r="I1032" s="338" t="s">
        <v>411</v>
      </c>
      <c r="J1032" s="339"/>
      <c r="K1032" s="339"/>
      <c r="L1032" s="339" t="s">
        <v>409</v>
      </c>
      <c r="M1032" s="339" t="s">
        <v>409</v>
      </c>
      <c r="N1032" s="338" t="s">
        <v>417</v>
      </c>
      <c r="O1032" s="338" t="s">
        <v>409</v>
      </c>
      <c r="P1032" s="338" t="s">
        <v>417</v>
      </c>
    </row>
    <row r="1033" spans="2:16" x14ac:dyDescent="0.25">
      <c r="B1033" s="336" t="s">
        <v>416</v>
      </c>
      <c r="C1033" s="337">
        <v>41043</v>
      </c>
      <c r="D1033" s="338" t="s">
        <v>4961</v>
      </c>
      <c r="E1033" s="338" t="s">
        <v>7032</v>
      </c>
      <c r="F1033" s="338"/>
      <c r="G1033" s="338">
        <v>139.66999999999999</v>
      </c>
      <c r="H1033" s="338" t="s">
        <v>425</v>
      </c>
      <c r="I1033" s="338" t="s">
        <v>411</v>
      </c>
      <c r="J1033" s="339">
        <v>0.28239599999999998</v>
      </c>
      <c r="K1033" s="339">
        <v>8.6967199999999991</v>
      </c>
      <c r="L1033" s="339" t="s">
        <v>409</v>
      </c>
      <c r="M1033" s="339" t="s">
        <v>409</v>
      </c>
      <c r="N1033" s="338" t="s">
        <v>417</v>
      </c>
      <c r="O1033" s="338" t="s">
        <v>409</v>
      </c>
      <c r="P1033" s="338" t="s">
        <v>417</v>
      </c>
    </row>
    <row r="1034" spans="2:16" x14ac:dyDescent="0.25">
      <c r="B1034" s="336" t="s">
        <v>459</v>
      </c>
      <c r="C1034" s="337">
        <v>41043</v>
      </c>
      <c r="D1034" s="338" t="s">
        <v>7031</v>
      </c>
      <c r="E1034" s="338" t="s">
        <v>2654</v>
      </c>
      <c r="F1034" s="338"/>
      <c r="G1034" s="338">
        <v>175</v>
      </c>
      <c r="H1034" s="338" t="s">
        <v>425</v>
      </c>
      <c r="I1034" s="338" t="s">
        <v>411</v>
      </c>
      <c r="J1034" s="339"/>
      <c r="K1034" s="339"/>
      <c r="L1034" s="339" t="s">
        <v>409</v>
      </c>
      <c r="M1034" s="339" t="s">
        <v>409</v>
      </c>
      <c r="N1034" s="338" t="s">
        <v>417</v>
      </c>
      <c r="O1034" s="338" t="s">
        <v>409</v>
      </c>
      <c r="P1034" s="338" t="s">
        <v>443</v>
      </c>
    </row>
    <row r="1035" spans="2:16" x14ac:dyDescent="0.25">
      <c r="B1035" s="336" t="s">
        <v>416</v>
      </c>
      <c r="C1035" s="337">
        <v>41043</v>
      </c>
      <c r="D1035" s="338" t="s">
        <v>4497</v>
      </c>
      <c r="E1035" s="338" t="s">
        <v>7030</v>
      </c>
      <c r="F1035" s="338" t="s">
        <v>656</v>
      </c>
      <c r="G1035" s="338">
        <v>192.5</v>
      </c>
      <c r="H1035" s="338" t="s">
        <v>429</v>
      </c>
      <c r="I1035" s="338" t="s">
        <v>411</v>
      </c>
      <c r="J1035" s="339"/>
      <c r="K1035" s="339"/>
      <c r="L1035" s="339">
        <v>2.5786799999999999</v>
      </c>
      <c r="M1035" s="339">
        <v>19.2026</v>
      </c>
      <c r="N1035" s="338" t="s">
        <v>482</v>
      </c>
      <c r="O1035" s="338" t="s">
        <v>408</v>
      </c>
      <c r="P1035" s="338" t="s">
        <v>408</v>
      </c>
    </row>
    <row r="1036" spans="2:16" x14ac:dyDescent="0.25">
      <c r="B1036" s="336" t="s">
        <v>416</v>
      </c>
      <c r="C1036" s="337">
        <v>41040</v>
      </c>
      <c r="D1036" s="338" t="s">
        <v>7029</v>
      </c>
      <c r="E1036" s="338" t="s">
        <v>7028</v>
      </c>
      <c r="F1036" s="338"/>
      <c r="G1036" s="338" t="s">
        <v>413</v>
      </c>
      <c r="H1036" s="338" t="s">
        <v>412</v>
      </c>
      <c r="I1036" s="338" t="s">
        <v>411</v>
      </c>
      <c r="J1036" s="339"/>
      <c r="K1036" s="339"/>
      <c r="L1036" s="339" t="s">
        <v>409</v>
      </c>
      <c r="M1036" s="339" t="s">
        <v>409</v>
      </c>
      <c r="N1036" s="338"/>
      <c r="O1036" s="338" t="s">
        <v>409</v>
      </c>
      <c r="P1036" s="338" t="s">
        <v>432</v>
      </c>
    </row>
    <row r="1037" spans="2:16" x14ac:dyDescent="0.25">
      <c r="B1037" s="336" t="s">
        <v>416</v>
      </c>
      <c r="C1037" s="337">
        <v>41040</v>
      </c>
      <c r="D1037" s="338" t="s">
        <v>7027</v>
      </c>
      <c r="E1037" s="338" t="s">
        <v>1619</v>
      </c>
      <c r="F1037" s="338" t="s">
        <v>7026</v>
      </c>
      <c r="G1037" s="338" t="s">
        <v>413</v>
      </c>
      <c r="H1037" s="338" t="s">
        <v>425</v>
      </c>
      <c r="I1037" s="338" t="s">
        <v>411</v>
      </c>
      <c r="J1037" s="339"/>
      <c r="K1037" s="339"/>
      <c r="L1037" s="339"/>
      <c r="M1037" s="339"/>
      <c r="N1037" s="338"/>
      <c r="O1037" s="338" t="s">
        <v>417</v>
      </c>
      <c r="P1037" s="338" t="s">
        <v>417</v>
      </c>
    </row>
    <row r="1038" spans="2:16" x14ac:dyDescent="0.25">
      <c r="B1038" s="336" t="s">
        <v>459</v>
      </c>
      <c r="C1038" s="337">
        <v>41039</v>
      </c>
      <c r="D1038" s="338" t="s">
        <v>7025</v>
      </c>
      <c r="E1038" s="338" t="s">
        <v>7024</v>
      </c>
      <c r="F1038" s="338"/>
      <c r="G1038" s="338">
        <v>1</v>
      </c>
      <c r="H1038" s="338" t="s">
        <v>425</v>
      </c>
      <c r="I1038" s="338" t="s">
        <v>411</v>
      </c>
      <c r="J1038" s="339"/>
      <c r="K1038" s="339"/>
      <c r="L1038" s="339" t="s">
        <v>409</v>
      </c>
      <c r="M1038" s="339" t="s">
        <v>409</v>
      </c>
      <c r="N1038" s="338" t="s">
        <v>432</v>
      </c>
      <c r="O1038" s="338" t="s">
        <v>409</v>
      </c>
      <c r="P1038" s="338"/>
    </row>
    <row r="1039" spans="2:16" x14ac:dyDescent="0.25">
      <c r="B1039" s="336" t="s">
        <v>416</v>
      </c>
      <c r="C1039" s="337">
        <v>41039</v>
      </c>
      <c r="D1039" s="338" t="s">
        <v>7023</v>
      </c>
      <c r="E1039" s="338" t="s">
        <v>7022</v>
      </c>
      <c r="F1039" s="338"/>
      <c r="G1039" s="338" t="s">
        <v>413</v>
      </c>
      <c r="H1039" s="338" t="s">
        <v>412</v>
      </c>
      <c r="I1039" s="338" t="s">
        <v>411</v>
      </c>
      <c r="J1039" s="339"/>
      <c r="K1039" s="339"/>
      <c r="L1039" s="339" t="s">
        <v>409</v>
      </c>
      <c r="M1039" s="339" t="s">
        <v>409</v>
      </c>
      <c r="N1039" s="338" t="s">
        <v>417</v>
      </c>
      <c r="O1039" s="338" t="s">
        <v>409</v>
      </c>
      <c r="P1039" s="338" t="s">
        <v>605</v>
      </c>
    </row>
    <row r="1040" spans="2:16" x14ac:dyDescent="0.25">
      <c r="B1040" s="336" t="s">
        <v>416</v>
      </c>
      <c r="C1040" s="337">
        <v>41039</v>
      </c>
      <c r="D1040" s="338" t="s">
        <v>7021</v>
      </c>
      <c r="E1040" s="338" t="s">
        <v>514</v>
      </c>
      <c r="F1040" s="338" t="s">
        <v>7020</v>
      </c>
      <c r="G1040" s="338" t="s">
        <v>413</v>
      </c>
      <c r="H1040" s="338" t="s">
        <v>412</v>
      </c>
      <c r="I1040" s="338" t="s">
        <v>411</v>
      </c>
      <c r="J1040" s="339"/>
      <c r="K1040" s="339"/>
      <c r="L1040" s="339"/>
      <c r="M1040" s="339"/>
      <c r="N1040" s="338" t="s">
        <v>417</v>
      </c>
      <c r="O1040" s="338" t="s">
        <v>443</v>
      </c>
      <c r="P1040" s="338"/>
    </row>
    <row r="1041" spans="2:16" x14ac:dyDescent="0.25">
      <c r="B1041" s="336" t="s">
        <v>416</v>
      </c>
      <c r="C1041" s="337">
        <v>41038</v>
      </c>
      <c r="D1041" s="338" t="s">
        <v>7019</v>
      </c>
      <c r="E1041" s="338" t="s">
        <v>3176</v>
      </c>
      <c r="F1041" s="338"/>
      <c r="G1041" s="338">
        <v>629.58000000000004</v>
      </c>
      <c r="H1041" s="338" t="s">
        <v>425</v>
      </c>
      <c r="I1041" s="338" t="s">
        <v>411</v>
      </c>
      <c r="J1041" s="339">
        <v>0.59555000000000002</v>
      </c>
      <c r="K1041" s="339">
        <v>10.8179</v>
      </c>
      <c r="L1041" s="339" t="s">
        <v>409</v>
      </c>
      <c r="M1041" s="339" t="s">
        <v>409</v>
      </c>
      <c r="N1041" s="338" t="s">
        <v>417</v>
      </c>
      <c r="O1041" s="338" t="s">
        <v>409</v>
      </c>
      <c r="P1041" s="338" t="s">
        <v>417</v>
      </c>
    </row>
    <row r="1042" spans="2:16" x14ac:dyDescent="0.25">
      <c r="B1042" s="336" t="s">
        <v>416</v>
      </c>
      <c r="C1042" s="337">
        <v>41036</v>
      </c>
      <c r="D1042" s="338" t="s">
        <v>7018</v>
      </c>
      <c r="E1042" s="338" t="s">
        <v>419</v>
      </c>
      <c r="F1042" s="338" t="s">
        <v>5146</v>
      </c>
      <c r="G1042" s="338">
        <v>610</v>
      </c>
      <c r="H1042" s="338" t="s">
        <v>425</v>
      </c>
      <c r="I1042" s="338" t="s">
        <v>411</v>
      </c>
      <c r="J1042" s="339"/>
      <c r="K1042" s="339"/>
      <c r="L1042" s="339">
        <v>2.6296400000000002</v>
      </c>
      <c r="M1042" s="339">
        <v>10.558299999999999</v>
      </c>
      <c r="N1042" s="338"/>
      <c r="O1042" s="338" t="s">
        <v>417</v>
      </c>
      <c r="P1042" s="338" t="s">
        <v>417</v>
      </c>
    </row>
    <row r="1043" spans="2:16" x14ac:dyDescent="0.25">
      <c r="B1043" s="336" t="s">
        <v>416</v>
      </c>
      <c r="C1043" s="337">
        <v>41036</v>
      </c>
      <c r="D1043" s="338" t="s">
        <v>645</v>
      </c>
      <c r="E1043" s="338" t="s">
        <v>7017</v>
      </c>
      <c r="F1043" s="338" t="s">
        <v>7016</v>
      </c>
      <c r="G1043" s="338">
        <v>65.34</v>
      </c>
      <c r="H1043" s="338" t="s">
        <v>425</v>
      </c>
      <c r="I1043" s="338" t="s">
        <v>1243</v>
      </c>
      <c r="J1043" s="339">
        <v>0.76237900000000003</v>
      </c>
      <c r="K1043" s="339">
        <v>7.69808</v>
      </c>
      <c r="L1043" s="339"/>
      <c r="M1043" s="339"/>
      <c r="N1043" s="338" t="s">
        <v>417</v>
      </c>
      <c r="O1043" s="338" t="s">
        <v>443</v>
      </c>
      <c r="P1043" s="338"/>
    </row>
    <row r="1044" spans="2:16" x14ac:dyDescent="0.25">
      <c r="B1044" s="336" t="s">
        <v>459</v>
      </c>
      <c r="C1044" s="337">
        <v>41036</v>
      </c>
      <c r="D1044" s="338" t="s">
        <v>7015</v>
      </c>
      <c r="E1044" s="338" t="s">
        <v>7014</v>
      </c>
      <c r="F1044" s="338"/>
      <c r="G1044" s="338">
        <v>18.3</v>
      </c>
      <c r="H1044" s="338" t="s">
        <v>425</v>
      </c>
      <c r="I1044" s="338" t="s">
        <v>411</v>
      </c>
      <c r="J1044" s="339"/>
      <c r="K1044" s="339"/>
      <c r="L1044" s="339" t="s">
        <v>409</v>
      </c>
      <c r="M1044" s="339" t="s">
        <v>409</v>
      </c>
      <c r="N1044" s="338" t="s">
        <v>487</v>
      </c>
      <c r="O1044" s="338" t="s">
        <v>409</v>
      </c>
      <c r="P1044" s="338"/>
    </row>
    <row r="1045" spans="2:16" x14ac:dyDescent="0.25">
      <c r="B1045" s="336" t="s">
        <v>416</v>
      </c>
      <c r="C1045" s="337">
        <v>41033</v>
      </c>
      <c r="D1045" s="338" t="s">
        <v>7013</v>
      </c>
      <c r="E1045" s="338" t="s">
        <v>7012</v>
      </c>
      <c r="F1045" s="338" t="s">
        <v>1617</v>
      </c>
      <c r="G1045" s="338">
        <v>49.2</v>
      </c>
      <c r="H1045" s="338" t="s">
        <v>425</v>
      </c>
      <c r="I1045" s="338" t="s">
        <v>411</v>
      </c>
      <c r="J1045" s="339"/>
      <c r="K1045" s="339"/>
      <c r="L1045" s="339">
        <v>2.0437500000000002</v>
      </c>
      <c r="M1045" s="339">
        <v>15.439</v>
      </c>
      <c r="N1045" s="338"/>
      <c r="O1045" s="338" t="s">
        <v>417</v>
      </c>
      <c r="P1045" s="338" t="s">
        <v>443</v>
      </c>
    </row>
    <row r="1046" spans="2:16" x14ac:dyDescent="0.25">
      <c r="B1046" s="336" t="s">
        <v>416</v>
      </c>
      <c r="C1046" s="337">
        <v>41032</v>
      </c>
      <c r="D1046" s="338" t="s">
        <v>7011</v>
      </c>
      <c r="E1046" s="338" t="s">
        <v>7010</v>
      </c>
      <c r="F1046" s="338"/>
      <c r="G1046" s="338" t="s">
        <v>413</v>
      </c>
      <c r="H1046" s="338" t="s">
        <v>425</v>
      </c>
      <c r="I1046" s="338" t="s">
        <v>411</v>
      </c>
      <c r="J1046" s="339"/>
      <c r="K1046" s="339"/>
      <c r="L1046" s="339" t="s">
        <v>409</v>
      </c>
      <c r="M1046" s="339" t="s">
        <v>409</v>
      </c>
      <c r="N1046" s="338"/>
      <c r="O1046" s="338" t="s">
        <v>409</v>
      </c>
      <c r="P1046" s="338" t="s">
        <v>443</v>
      </c>
    </row>
    <row r="1047" spans="2:16" x14ac:dyDescent="0.25">
      <c r="B1047" s="336" t="s">
        <v>459</v>
      </c>
      <c r="C1047" s="337">
        <v>41031</v>
      </c>
      <c r="D1047" s="338" t="s">
        <v>7009</v>
      </c>
      <c r="E1047" s="338" t="s">
        <v>7008</v>
      </c>
      <c r="F1047" s="338"/>
      <c r="G1047" s="338" t="s">
        <v>413</v>
      </c>
      <c r="H1047" s="338" t="s">
        <v>425</v>
      </c>
      <c r="I1047" s="338" t="s">
        <v>411</v>
      </c>
      <c r="J1047" s="339"/>
      <c r="K1047" s="339"/>
      <c r="L1047" s="339" t="s">
        <v>409</v>
      </c>
      <c r="M1047" s="339" t="s">
        <v>409</v>
      </c>
      <c r="N1047" s="338" t="s">
        <v>417</v>
      </c>
      <c r="O1047" s="338" t="s">
        <v>409</v>
      </c>
      <c r="P1047" s="338" t="s">
        <v>443</v>
      </c>
    </row>
    <row r="1048" spans="2:16" x14ac:dyDescent="0.25">
      <c r="B1048" s="336" t="s">
        <v>416</v>
      </c>
      <c r="C1048" s="337">
        <v>41031</v>
      </c>
      <c r="D1048" s="338" t="s">
        <v>1220</v>
      </c>
      <c r="E1048" s="338" t="s">
        <v>680</v>
      </c>
      <c r="F1048" s="338"/>
      <c r="G1048" s="338">
        <v>848.7</v>
      </c>
      <c r="H1048" s="338" t="s">
        <v>425</v>
      </c>
      <c r="I1048" s="338" t="s">
        <v>411</v>
      </c>
      <c r="J1048" s="339">
        <v>0.32540599999999997</v>
      </c>
      <c r="K1048" s="339">
        <v>7.7339900000000004</v>
      </c>
      <c r="L1048" s="339" t="s">
        <v>409</v>
      </c>
      <c r="M1048" s="339" t="s">
        <v>409</v>
      </c>
      <c r="N1048" s="338" t="s">
        <v>417</v>
      </c>
      <c r="O1048" s="338" t="s">
        <v>409</v>
      </c>
      <c r="P1048" s="338" t="s">
        <v>417</v>
      </c>
    </row>
    <row r="1049" spans="2:16" x14ac:dyDescent="0.25">
      <c r="B1049" s="336" t="s">
        <v>416</v>
      </c>
      <c r="C1049" s="337">
        <v>41031</v>
      </c>
      <c r="D1049" s="338" t="s">
        <v>7007</v>
      </c>
      <c r="E1049" s="338" t="s">
        <v>2703</v>
      </c>
      <c r="F1049" s="338"/>
      <c r="G1049" s="338" t="s">
        <v>413</v>
      </c>
      <c r="H1049" s="338" t="s">
        <v>412</v>
      </c>
      <c r="I1049" s="338" t="s">
        <v>411</v>
      </c>
      <c r="J1049" s="339"/>
      <c r="K1049" s="339"/>
      <c r="L1049" s="339" t="s">
        <v>409</v>
      </c>
      <c r="M1049" s="339" t="s">
        <v>409</v>
      </c>
      <c r="N1049" s="338" t="s">
        <v>417</v>
      </c>
      <c r="O1049" s="338" t="s">
        <v>409</v>
      </c>
      <c r="P1049" s="338" t="s">
        <v>417</v>
      </c>
    </row>
    <row r="1050" spans="2:16" x14ac:dyDescent="0.25">
      <c r="B1050" s="336" t="s">
        <v>416</v>
      </c>
      <c r="C1050" s="337">
        <v>41031</v>
      </c>
      <c r="D1050" s="338" t="s">
        <v>7006</v>
      </c>
      <c r="E1050" s="338" t="s">
        <v>7005</v>
      </c>
      <c r="F1050" s="338"/>
      <c r="G1050" s="338" t="s">
        <v>413</v>
      </c>
      <c r="H1050" s="338" t="s">
        <v>412</v>
      </c>
      <c r="I1050" s="338" t="s">
        <v>411</v>
      </c>
      <c r="J1050" s="339"/>
      <c r="K1050" s="339"/>
      <c r="L1050" s="339" t="s">
        <v>409</v>
      </c>
      <c r="M1050" s="339" t="s">
        <v>409</v>
      </c>
      <c r="N1050" s="338" t="s">
        <v>417</v>
      </c>
      <c r="O1050" s="338" t="s">
        <v>409</v>
      </c>
      <c r="P1050" s="338" t="s">
        <v>408</v>
      </c>
    </row>
    <row r="1051" spans="2:16" x14ac:dyDescent="0.25">
      <c r="B1051" s="336" t="s">
        <v>416</v>
      </c>
      <c r="C1051" s="337">
        <v>41030</v>
      </c>
      <c r="D1051" s="338" t="s">
        <v>2288</v>
      </c>
      <c r="E1051" s="338" t="s">
        <v>7004</v>
      </c>
      <c r="F1051" s="338"/>
      <c r="G1051" s="338">
        <v>1750.38</v>
      </c>
      <c r="H1051" s="338" t="s">
        <v>425</v>
      </c>
      <c r="I1051" s="338" t="s">
        <v>411</v>
      </c>
      <c r="J1051" s="339">
        <v>0.50458800000000004</v>
      </c>
      <c r="K1051" s="339">
        <v>9.5795300000000001</v>
      </c>
      <c r="L1051" s="339" t="s">
        <v>409</v>
      </c>
      <c r="M1051" s="339" t="s">
        <v>409</v>
      </c>
      <c r="N1051" s="338" t="s">
        <v>417</v>
      </c>
      <c r="O1051" s="338" t="s">
        <v>409</v>
      </c>
      <c r="P1051" s="338"/>
    </row>
    <row r="1052" spans="2:16" x14ac:dyDescent="0.25">
      <c r="B1052" s="336" t="s">
        <v>459</v>
      </c>
      <c r="C1052" s="337">
        <v>41030</v>
      </c>
      <c r="D1052" s="338" t="s">
        <v>7003</v>
      </c>
      <c r="E1052" s="338" t="s">
        <v>7002</v>
      </c>
      <c r="F1052" s="338"/>
      <c r="G1052" s="338">
        <v>17</v>
      </c>
      <c r="H1052" s="338" t="s">
        <v>425</v>
      </c>
      <c r="I1052" s="338" t="s">
        <v>411</v>
      </c>
      <c r="J1052" s="339"/>
      <c r="K1052" s="339"/>
      <c r="L1052" s="339" t="s">
        <v>409</v>
      </c>
      <c r="M1052" s="339" t="s">
        <v>409</v>
      </c>
      <c r="N1052" s="338" t="s">
        <v>605</v>
      </c>
      <c r="O1052" s="338" t="s">
        <v>409</v>
      </c>
      <c r="P1052" s="338"/>
    </row>
    <row r="1053" spans="2:16" x14ac:dyDescent="0.25">
      <c r="B1053" s="336" t="s">
        <v>416</v>
      </c>
      <c r="C1053" s="337">
        <v>41030</v>
      </c>
      <c r="D1053" s="338" t="s">
        <v>1872</v>
      </c>
      <c r="E1053" s="338" t="s">
        <v>5886</v>
      </c>
      <c r="F1053" s="338"/>
      <c r="G1053" s="338">
        <v>1164.71</v>
      </c>
      <c r="H1053" s="338" t="s">
        <v>425</v>
      </c>
      <c r="I1053" s="338" t="s">
        <v>411</v>
      </c>
      <c r="J1053" s="339">
        <v>0.63303699999999996</v>
      </c>
      <c r="K1053" s="339">
        <v>6.6467400000000003</v>
      </c>
      <c r="L1053" s="339" t="s">
        <v>409</v>
      </c>
      <c r="M1053" s="339" t="s">
        <v>409</v>
      </c>
      <c r="N1053" s="338" t="s">
        <v>417</v>
      </c>
      <c r="O1053" s="338" t="s">
        <v>409</v>
      </c>
      <c r="P1053" s="338" t="s">
        <v>443</v>
      </c>
    </row>
    <row r="1054" spans="2:16" x14ac:dyDescent="0.25">
      <c r="B1054" s="336" t="s">
        <v>416</v>
      </c>
      <c r="C1054" s="337">
        <v>41030</v>
      </c>
      <c r="D1054" s="338" t="s">
        <v>7001</v>
      </c>
      <c r="E1054" s="338" t="s">
        <v>598</v>
      </c>
      <c r="F1054" s="338"/>
      <c r="G1054" s="338" t="s">
        <v>413</v>
      </c>
      <c r="H1054" s="338" t="s">
        <v>425</v>
      </c>
      <c r="I1054" s="338" t="s">
        <v>411</v>
      </c>
      <c r="J1054" s="339"/>
      <c r="K1054" s="339"/>
      <c r="L1054" s="339" t="s">
        <v>409</v>
      </c>
      <c r="M1054" s="339" t="s">
        <v>409</v>
      </c>
      <c r="N1054" s="338"/>
      <c r="O1054" s="338" t="s">
        <v>409</v>
      </c>
      <c r="P1054" s="338" t="s">
        <v>417</v>
      </c>
    </row>
    <row r="1055" spans="2:16" x14ac:dyDescent="0.25">
      <c r="B1055" s="336" t="s">
        <v>416</v>
      </c>
      <c r="C1055" s="337">
        <v>41030</v>
      </c>
      <c r="D1055" s="338" t="s">
        <v>6981</v>
      </c>
      <c r="E1055" s="338" t="s">
        <v>3553</v>
      </c>
      <c r="F1055" s="338" t="s">
        <v>7000</v>
      </c>
      <c r="G1055" s="338" t="s">
        <v>413</v>
      </c>
      <c r="H1055" s="338" t="s">
        <v>425</v>
      </c>
      <c r="I1055" s="338" t="s">
        <v>411</v>
      </c>
      <c r="J1055" s="339"/>
      <c r="K1055" s="339"/>
      <c r="L1055" s="339"/>
      <c r="M1055" s="339"/>
      <c r="N1055" s="338" t="s">
        <v>417</v>
      </c>
      <c r="O1055" s="338" t="s">
        <v>443</v>
      </c>
      <c r="P1055" s="338" t="s">
        <v>417</v>
      </c>
    </row>
    <row r="1056" spans="2:16" x14ac:dyDescent="0.25">
      <c r="B1056" s="336" t="s">
        <v>459</v>
      </c>
      <c r="C1056" s="337">
        <v>41029</v>
      </c>
      <c r="D1056" s="338" t="s">
        <v>692</v>
      </c>
      <c r="E1056" s="338" t="s">
        <v>5627</v>
      </c>
      <c r="F1056" s="338" t="s">
        <v>538</v>
      </c>
      <c r="G1056" s="338">
        <v>300</v>
      </c>
      <c r="H1056" s="338" t="s">
        <v>425</v>
      </c>
      <c r="I1056" s="338" t="s">
        <v>411</v>
      </c>
      <c r="J1056" s="339"/>
      <c r="K1056" s="339"/>
      <c r="L1056" s="339">
        <v>0.21088399999999999</v>
      </c>
      <c r="M1056" s="339">
        <v>238.93199999999999</v>
      </c>
      <c r="N1056" s="338"/>
      <c r="O1056" s="338" t="s">
        <v>417</v>
      </c>
      <c r="P1056" s="338" t="s">
        <v>605</v>
      </c>
    </row>
    <row r="1057" spans="2:16" x14ac:dyDescent="0.25">
      <c r="B1057" s="336" t="s">
        <v>416</v>
      </c>
      <c r="C1057" s="337">
        <v>41029</v>
      </c>
      <c r="D1057" s="338" t="s">
        <v>6999</v>
      </c>
      <c r="E1057" s="338" t="s">
        <v>479</v>
      </c>
      <c r="F1057" s="338"/>
      <c r="G1057" s="338" t="s">
        <v>413</v>
      </c>
      <c r="H1057" s="338" t="s">
        <v>412</v>
      </c>
      <c r="I1057" s="338" t="s">
        <v>411</v>
      </c>
      <c r="J1057" s="339"/>
      <c r="K1057" s="339"/>
      <c r="L1057" s="339" t="s">
        <v>409</v>
      </c>
      <c r="M1057" s="339" t="s">
        <v>409</v>
      </c>
      <c r="N1057" s="338" t="s">
        <v>417</v>
      </c>
      <c r="O1057" s="338" t="s">
        <v>409</v>
      </c>
      <c r="P1057" s="338" t="s">
        <v>443</v>
      </c>
    </row>
    <row r="1058" spans="2:16" x14ac:dyDescent="0.25">
      <c r="B1058" s="336" t="s">
        <v>459</v>
      </c>
      <c r="C1058" s="337">
        <v>41029</v>
      </c>
      <c r="D1058" s="338" t="s">
        <v>6998</v>
      </c>
      <c r="E1058" s="338" t="s">
        <v>6997</v>
      </c>
      <c r="F1058" s="338"/>
      <c r="G1058" s="338" t="s">
        <v>413</v>
      </c>
      <c r="H1058" s="338" t="s">
        <v>425</v>
      </c>
      <c r="I1058" s="338" t="s">
        <v>411</v>
      </c>
      <c r="J1058" s="339"/>
      <c r="K1058" s="339"/>
      <c r="L1058" s="339" t="s">
        <v>409</v>
      </c>
      <c r="M1058" s="339" t="s">
        <v>409</v>
      </c>
      <c r="N1058" s="338" t="s">
        <v>432</v>
      </c>
      <c r="O1058" s="338" t="s">
        <v>409</v>
      </c>
      <c r="P1058" s="338"/>
    </row>
    <row r="1059" spans="2:16" x14ac:dyDescent="0.25">
      <c r="B1059" s="336" t="s">
        <v>416</v>
      </c>
      <c r="C1059" s="337">
        <v>41025</v>
      </c>
      <c r="D1059" s="338" t="s">
        <v>6996</v>
      </c>
      <c r="E1059" s="338" t="s">
        <v>2473</v>
      </c>
      <c r="F1059" s="338" t="s">
        <v>656</v>
      </c>
      <c r="G1059" s="338">
        <v>1800</v>
      </c>
      <c r="H1059" s="338" t="s">
        <v>780</v>
      </c>
      <c r="I1059" s="338" t="s">
        <v>411</v>
      </c>
      <c r="J1059" s="339"/>
      <c r="K1059" s="339"/>
      <c r="L1059" s="339">
        <v>2.5786799999999999</v>
      </c>
      <c r="M1059" s="339">
        <v>19.2026</v>
      </c>
      <c r="N1059" s="338" t="s">
        <v>885</v>
      </c>
      <c r="O1059" s="338" t="s">
        <v>408</v>
      </c>
      <c r="P1059" s="338" t="s">
        <v>408</v>
      </c>
    </row>
    <row r="1060" spans="2:16" x14ac:dyDescent="0.25">
      <c r="B1060" s="336" t="s">
        <v>416</v>
      </c>
      <c r="C1060" s="337">
        <v>41025</v>
      </c>
      <c r="D1060" s="338" t="s">
        <v>6995</v>
      </c>
      <c r="E1060" s="338" t="s">
        <v>742</v>
      </c>
      <c r="F1060" s="338"/>
      <c r="G1060" s="338">
        <v>22.8</v>
      </c>
      <c r="H1060" s="338" t="s">
        <v>425</v>
      </c>
      <c r="I1060" s="338" t="s">
        <v>411</v>
      </c>
      <c r="J1060" s="339"/>
      <c r="K1060" s="339"/>
      <c r="L1060" s="339" t="s">
        <v>409</v>
      </c>
      <c r="M1060" s="339" t="s">
        <v>409</v>
      </c>
      <c r="N1060" s="338" t="s">
        <v>417</v>
      </c>
      <c r="O1060" s="338" t="s">
        <v>409</v>
      </c>
      <c r="P1060" s="338" t="s">
        <v>417</v>
      </c>
    </row>
    <row r="1061" spans="2:16" x14ac:dyDescent="0.25">
      <c r="B1061" s="336" t="s">
        <v>459</v>
      </c>
      <c r="C1061" s="337">
        <v>41025</v>
      </c>
      <c r="D1061" s="338" t="s">
        <v>6994</v>
      </c>
      <c r="E1061" s="338" t="s">
        <v>6993</v>
      </c>
      <c r="F1061" s="338"/>
      <c r="G1061" s="338" t="s">
        <v>413</v>
      </c>
      <c r="H1061" s="338" t="s">
        <v>425</v>
      </c>
      <c r="I1061" s="338" t="s">
        <v>411</v>
      </c>
      <c r="J1061" s="339"/>
      <c r="K1061" s="339"/>
      <c r="L1061" s="339" t="s">
        <v>409</v>
      </c>
      <c r="M1061" s="339" t="s">
        <v>409</v>
      </c>
      <c r="N1061" s="338" t="s">
        <v>417</v>
      </c>
      <c r="O1061" s="338" t="s">
        <v>409</v>
      </c>
      <c r="P1061" s="338"/>
    </row>
    <row r="1062" spans="2:16" x14ac:dyDescent="0.25">
      <c r="B1062" s="336" t="s">
        <v>416</v>
      </c>
      <c r="C1062" s="337">
        <v>41024</v>
      </c>
      <c r="D1062" s="338" t="s">
        <v>6992</v>
      </c>
      <c r="E1062" s="338" t="s">
        <v>6991</v>
      </c>
      <c r="F1062" s="338"/>
      <c r="G1062" s="338" t="s">
        <v>413</v>
      </c>
      <c r="H1062" s="338" t="s">
        <v>412</v>
      </c>
      <c r="I1062" s="338" t="s">
        <v>411</v>
      </c>
      <c r="J1062" s="339"/>
      <c r="K1062" s="339"/>
      <c r="L1062" s="339" t="s">
        <v>409</v>
      </c>
      <c r="M1062" s="339" t="s">
        <v>409</v>
      </c>
      <c r="N1062" s="338" t="s">
        <v>417</v>
      </c>
      <c r="O1062" s="338" t="s">
        <v>409</v>
      </c>
      <c r="P1062" s="338" t="s">
        <v>410</v>
      </c>
    </row>
    <row r="1063" spans="2:16" x14ac:dyDescent="0.25">
      <c r="B1063" s="336" t="s">
        <v>416</v>
      </c>
      <c r="C1063" s="337">
        <v>41023</v>
      </c>
      <c r="D1063" s="338" t="s">
        <v>844</v>
      </c>
      <c r="E1063" s="338" t="s">
        <v>6990</v>
      </c>
      <c r="F1063" s="338" t="s">
        <v>843</v>
      </c>
      <c r="G1063" s="338" t="s">
        <v>413</v>
      </c>
      <c r="H1063" s="338" t="s">
        <v>412</v>
      </c>
      <c r="I1063" s="338" t="s">
        <v>411</v>
      </c>
      <c r="J1063" s="339"/>
      <c r="K1063" s="339"/>
      <c r="L1063" s="339">
        <v>0.30612499999999998</v>
      </c>
      <c r="M1063" s="339">
        <v>49.310099999999998</v>
      </c>
      <c r="N1063" s="338" t="s">
        <v>417</v>
      </c>
      <c r="O1063" s="338" t="s">
        <v>417</v>
      </c>
      <c r="P1063" s="338" t="s">
        <v>432</v>
      </c>
    </row>
    <row r="1064" spans="2:16" x14ac:dyDescent="0.25">
      <c r="B1064" s="336" t="s">
        <v>416</v>
      </c>
      <c r="C1064" s="337">
        <v>41023</v>
      </c>
      <c r="D1064" s="338" t="s">
        <v>6989</v>
      </c>
      <c r="E1064" s="338" t="s">
        <v>6594</v>
      </c>
      <c r="F1064" s="338" t="s">
        <v>6988</v>
      </c>
      <c r="G1064" s="338" t="s">
        <v>413</v>
      </c>
      <c r="H1064" s="338" t="s">
        <v>412</v>
      </c>
      <c r="I1064" s="338" t="s">
        <v>411</v>
      </c>
      <c r="J1064" s="339"/>
      <c r="K1064" s="339"/>
      <c r="L1064" s="339"/>
      <c r="M1064" s="339"/>
      <c r="N1064" s="338"/>
      <c r="O1064" s="338" t="s">
        <v>417</v>
      </c>
      <c r="P1064" s="338" t="s">
        <v>410</v>
      </c>
    </row>
    <row r="1065" spans="2:16" x14ac:dyDescent="0.25">
      <c r="B1065" s="336" t="s">
        <v>416</v>
      </c>
      <c r="C1065" s="337">
        <v>41022</v>
      </c>
      <c r="D1065" s="338" t="s">
        <v>6987</v>
      </c>
      <c r="E1065" s="338" t="s">
        <v>1479</v>
      </c>
      <c r="F1065" s="338"/>
      <c r="G1065" s="338">
        <v>5.0999999999999996</v>
      </c>
      <c r="H1065" s="338" t="s">
        <v>425</v>
      </c>
      <c r="I1065" s="338" t="s">
        <v>411</v>
      </c>
      <c r="J1065" s="339"/>
      <c r="K1065" s="339"/>
      <c r="L1065" s="339" t="s">
        <v>409</v>
      </c>
      <c r="M1065" s="339" t="s">
        <v>409</v>
      </c>
      <c r="N1065" s="338"/>
      <c r="O1065" s="338" t="s">
        <v>409</v>
      </c>
      <c r="P1065" s="338" t="s">
        <v>417</v>
      </c>
    </row>
    <row r="1066" spans="2:16" x14ac:dyDescent="0.25">
      <c r="B1066" s="336" t="s">
        <v>416</v>
      </c>
      <c r="C1066" s="337">
        <v>41022</v>
      </c>
      <c r="D1066" s="338" t="s">
        <v>6986</v>
      </c>
      <c r="E1066" s="338" t="s">
        <v>6985</v>
      </c>
      <c r="F1066" s="338"/>
      <c r="G1066" s="338">
        <v>14.1</v>
      </c>
      <c r="H1066" s="338" t="s">
        <v>780</v>
      </c>
      <c r="I1066" s="338" t="s">
        <v>411</v>
      </c>
      <c r="J1066" s="339"/>
      <c r="K1066" s="339"/>
      <c r="L1066" s="339" t="s">
        <v>409</v>
      </c>
      <c r="M1066" s="339" t="s">
        <v>409</v>
      </c>
      <c r="N1066" s="338"/>
      <c r="O1066" s="338" t="s">
        <v>409</v>
      </c>
      <c r="P1066" s="338" t="s">
        <v>417</v>
      </c>
    </row>
    <row r="1067" spans="2:16" x14ac:dyDescent="0.25">
      <c r="B1067" s="336" t="s">
        <v>416</v>
      </c>
      <c r="C1067" s="337">
        <v>41017</v>
      </c>
      <c r="D1067" s="338" t="s">
        <v>6984</v>
      </c>
      <c r="E1067" s="338" t="s">
        <v>6983</v>
      </c>
      <c r="F1067" s="338" t="s">
        <v>889</v>
      </c>
      <c r="G1067" s="338">
        <v>183.62</v>
      </c>
      <c r="H1067" s="338" t="s">
        <v>425</v>
      </c>
      <c r="I1067" s="338" t="s">
        <v>411</v>
      </c>
      <c r="J1067" s="339"/>
      <c r="K1067" s="339"/>
      <c r="L1067" s="339">
        <v>2.9470299999999998</v>
      </c>
      <c r="M1067" s="339">
        <v>13.790100000000001</v>
      </c>
      <c r="N1067" s="338"/>
      <c r="O1067" s="338" t="s">
        <v>410</v>
      </c>
      <c r="P1067" s="338" t="s">
        <v>417</v>
      </c>
    </row>
    <row r="1068" spans="2:16" x14ac:dyDescent="0.25">
      <c r="B1068" s="336" t="s">
        <v>541</v>
      </c>
      <c r="C1068" s="337">
        <v>41017</v>
      </c>
      <c r="D1068" s="338" t="s">
        <v>6982</v>
      </c>
      <c r="E1068" s="338" t="s">
        <v>539</v>
      </c>
      <c r="F1068" s="338" t="s">
        <v>5986</v>
      </c>
      <c r="G1068" s="338">
        <v>36.369999999999997</v>
      </c>
      <c r="H1068" s="338"/>
      <c r="I1068" s="338" t="s">
        <v>411</v>
      </c>
      <c r="J1068" s="339">
        <v>2.40082</v>
      </c>
      <c r="K1068" s="339">
        <v>3.3898000000000001</v>
      </c>
      <c r="L1068" s="339"/>
      <c r="M1068" s="339"/>
      <c r="N1068" s="338" t="s">
        <v>543</v>
      </c>
      <c r="O1068" s="338" t="s">
        <v>417</v>
      </c>
      <c r="P1068" s="338" t="s">
        <v>409</v>
      </c>
    </row>
    <row r="1069" spans="2:16" x14ac:dyDescent="0.25">
      <c r="B1069" s="336" t="s">
        <v>416</v>
      </c>
      <c r="C1069" s="337">
        <v>41016</v>
      </c>
      <c r="D1069" s="338" t="s">
        <v>6981</v>
      </c>
      <c r="E1069" s="338" t="s">
        <v>3553</v>
      </c>
      <c r="F1069" s="338"/>
      <c r="G1069" s="338" t="s">
        <v>413</v>
      </c>
      <c r="H1069" s="338" t="s">
        <v>412</v>
      </c>
      <c r="I1069" s="338" t="s">
        <v>411</v>
      </c>
      <c r="J1069" s="339"/>
      <c r="K1069" s="339"/>
      <c r="L1069" s="339" t="s">
        <v>409</v>
      </c>
      <c r="M1069" s="339" t="s">
        <v>409</v>
      </c>
      <c r="N1069" s="338" t="s">
        <v>417</v>
      </c>
      <c r="O1069" s="338" t="s">
        <v>409</v>
      </c>
      <c r="P1069" s="338" t="s">
        <v>417</v>
      </c>
    </row>
    <row r="1070" spans="2:16" x14ac:dyDescent="0.25">
      <c r="B1070" s="336" t="s">
        <v>416</v>
      </c>
      <c r="C1070" s="337">
        <v>41015</v>
      </c>
      <c r="D1070" s="338" t="s">
        <v>6980</v>
      </c>
      <c r="E1070" s="338" t="s">
        <v>6979</v>
      </c>
      <c r="F1070" s="338"/>
      <c r="G1070" s="338">
        <v>26.86</v>
      </c>
      <c r="H1070" s="338" t="s">
        <v>425</v>
      </c>
      <c r="I1070" s="338" t="s">
        <v>411</v>
      </c>
      <c r="J1070" s="339"/>
      <c r="K1070" s="339"/>
      <c r="L1070" s="339" t="s">
        <v>409</v>
      </c>
      <c r="M1070" s="339" t="s">
        <v>409</v>
      </c>
      <c r="N1070" s="338" t="s">
        <v>417</v>
      </c>
      <c r="O1070" s="338" t="s">
        <v>409</v>
      </c>
      <c r="P1070" s="338" t="s">
        <v>417</v>
      </c>
    </row>
    <row r="1071" spans="2:16" x14ac:dyDescent="0.25">
      <c r="B1071" s="336" t="s">
        <v>416</v>
      </c>
      <c r="C1071" s="337">
        <v>41015</v>
      </c>
      <c r="D1071" s="338" t="s">
        <v>6978</v>
      </c>
      <c r="E1071" s="338" t="s">
        <v>6977</v>
      </c>
      <c r="F1071" s="338"/>
      <c r="G1071" s="338" t="s">
        <v>413</v>
      </c>
      <c r="H1071" s="338" t="s">
        <v>412</v>
      </c>
      <c r="I1071" s="338" t="s">
        <v>411</v>
      </c>
      <c r="J1071" s="339"/>
      <c r="K1071" s="339"/>
      <c r="L1071" s="339" t="s">
        <v>409</v>
      </c>
      <c r="M1071" s="339" t="s">
        <v>409</v>
      </c>
      <c r="N1071" s="338" t="s">
        <v>410</v>
      </c>
      <c r="O1071" s="338" t="s">
        <v>409</v>
      </c>
      <c r="P1071" s="338" t="s">
        <v>410</v>
      </c>
    </row>
    <row r="1072" spans="2:16" x14ac:dyDescent="0.25">
      <c r="B1072" s="336" t="s">
        <v>416</v>
      </c>
      <c r="C1072" s="337">
        <v>41015</v>
      </c>
      <c r="D1072" s="338" t="s">
        <v>6976</v>
      </c>
      <c r="E1072" s="338" t="s">
        <v>6975</v>
      </c>
      <c r="F1072" s="338" t="s">
        <v>6974</v>
      </c>
      <c r="G1072" s="338" t="s">
        <v>413</v>
      </c>
      <c r="H1072" s="338" t="s">
        <v>425</v>
      </c>
      <c r="I1072" s="338" t="s">
        <v>411</v>
      </c>
      <c r="J1072" s="339"/>
      <c r="K1072" s="339"/>
      <c r="L1072" s="339"/>
      <c r="M1072" s="339"/>
      <c r="N1072" s="338"/>
      <c r="O1072" s="338" t="s">
        <v>417</v>
      </c>
      <c r="P1072" s="338" t="s">
        <v>417</v>
      </c>
    </row>
    <row r="1073" spans="2:16" x14ac:dyDescent="0.25">
      <c r="B1073" s="336" t="s">
        <v>416</v>
      </c>
      <c r="C1073" s="337">
        <v>41012</v>
      </c>
      <c r="D1073" s="338" t="s">
        <v>3561</v>
      </c>
      <c r="E1073" s="338" t="s">
        <v>514</v>
      </c>
      <c r="F1073" s="338" t="s">
        <v>6973</v>
      </c>
      <c r="G1073" s="338" t="s">
        <v>413</v>
      </c>
      <c r="H1073" s="338" t="s">
        <v>412</v>
      </c>
      <c r="I1073" s="338" t="s">
        <v>411</v>
      </c>
      <c r="J1073" s="339"/>
      <c r="K1073" s="339"/>
      <c r="L1073" s="339"/>
      <c r="M1073" s="339"/>
      <c r="N1073" s="338" t="s">
        <v>417</v>
      </c>
      <c r="O1073" s="338" t="s">
        <v>417</v>
      </c>
      <c r="P1073" s="338"/>
    </row>
    <row r="1074" spans="2:16" x14ac:dyDescent="0.25">
      <c r="B1074" s="336" t="s">
        <v>459</v>
      </c>
      <c r="C1074" s="337">
        <v>41012</v>
      </c>
      <c r="D1074" s="338" t="s">
        <v>6972</v>
      </c>
      <c r="E1074" s="338" t="s">
        <v>6378</v>
      </c>
      <c r="F1074" s="338"/>
      <c r="G1074" s="338" t="s">
        <v>413</v>
      </c>
      <c r="H1074" s="338" t="s">
        <v>425</v>
      </c>
      <c r="I1074" s="338" t="s">
        <v>411</v>
      </c>
      <c r="J1074" s="339"/>
      <c r="K1074" s="339"/>
      <c r="L1074" s="339" t="s">
        <v>409</v>
      </c>
      <c r="M1074" s="339" t="s">
        <v>409</v>
      </c>
      <c r="N1074" s="338" t="s">
        <v>417</v>
      </c>
      <c r="O1074" s="338" t="s">
        <v>409</v>
      </c>
      <c r="P1074" s="338" t="s">
        <v>443</v>
      </c>
    </row>
    <row r="1075" spans="2:16" x14ac:dyDescent="0.25">
      <c r="B1075" s="336" t="s">
        <v>459</v>
      </c>
      <c r="C1075" s="337">
        <v>41011</v>
      </c>
      <c r="D1075" s="338" t="s">
        <v>6971</v>
      </c>
      <c r="E1075" s="338" t="s">
        <v>6970</v>
      </c>
      <c r="F1075" s="338"/>
      <c r="G1075" s="338">
        <v>16.399999999999999</v>
      </c>
      <c r="H1075" s="338" t="s">
        <v>425</v>
      </c>
      <c r="I1075" s="338" t="s">
        <v>411</v>
      </c>
      <c r="J1075" s="339"/>
      <c r="K1075" s="339"/>
      <c r="L1075" s="339" t="s">
        <v>409</v>
      </c>
      <c r="M1075" s="339" t="s">
        <v>409</v>
      </c>
      <c r="N1075" s="338" t="s">
        <v>417</v>
      </c>
      <c r="O1075" s="338" t="s">
        <v>409</v>
      </c>
      <c r="P1075" s="338"/>
    </row>
    <row r="1076" spans="2:16" x14ac:dyDescent="0.25">
      <c r="B1076" s="336" t="s">
        <v>416</v>
      </c>
      <c r="C1076" s="337">
        <v>41010</v>
      </c>
      <c r="D1076" s="338" t="s">
        <v>4536</v>
      </c>
      <c r="E1076" s="338" t="s">
        <v>6969</v>
      </c>
      <c r="F1076" s="338"/>
      <c r="G1076" s="338" t="s">
        <v>413</v>
      </c>
      <c r="H1076" s="338" t="s">
        <v>425</v>
      </c>
      <c r="I1076" s="338" t="s">
        <v>411</v>
      </c>
      <c r="J1076" s="339"/>
      <c r="K1076" s="339"/>
      <c r="L1076" s="339" t="s">
        <v>409</v>
      </c>
      <c r="M1076" s="339" t="s">
        <v>409</v>
      </c>
      <c r="N1076" s="338" t="s">
        <v>410</v>
      </c>
      <c r="O1076" s="338" t="s">
        <v>409</v>
      </c>
      <c r="P1076" s="338"/>
    </row>
    <row r="1077" spans="2:16" x14ac:dyDescent="0.25">
      <c r="B1077" s="336" t="s">
        <v>416</v>
      </c>
      <c r="C1077" s="337">
        <v>41010</v>
      </c>
      <c r="D1077" s="338" t="s">
        <v>6968</v>
      </c>
      <c r="E1077" s="338" t="s">
        <v>6967</v>
      </c>
      <c r="F1077" s="338"/>
      <c r="G1077" s="338">
        <v>4.3</v>
      </c>
      <c r="H1077" s="338" t="s">
        <v>425</v>
      </c>
      <c r="I1077" s="338" t="s">
        <v>411</v>
      </c>
      <c r="J1077" s="339"/>
      <c r="K1077" s="339"/>
      <c r="L1077" s="339" t="s">
        <v>409</v>
      </c>
      <c r="M1077" s="339" t="s">
        <v>409</v>
      </c>
      <c r="N1077" s="338"/>
      <c r="O1077" s="338" t="s">
        <v>409</v>
      </c>
      <c r="P1077" s="338" t="s">
        <v>410</v>
      </c>
    </row>
    <row r="1078" spans="2:16" x14ac:dyDescent="0.25">
      <c r="B1078" s="336" t="s">
        <v>416</v>
      </c>
      <c r="C1078" s="337">
        <v>41010</v>
      </c>
      <c r="D1078" s="338" t="s">
        <v>6966</v>
      </c>
      <c r="E1078" s="338" t="s">
        <v>6965</v>
      </c>
      <c r="F1078" s="338" t="s">
        <v>6964</v>
      </c>
      <c r="G1078" s="338" t="s">
        <v>413</v>
      </c>
      <c r="H1078" s="338" t="s">
        <v>425</v>
      </c>
      <c r="I1078" s="338" t="s">
        <v>411</v>
      </c>
      <c r="J1078" s="339"/>
      <c r="K1078" s="339"/>
      <c r="L1078" s="339"/>
      <c r="M1078" s="339"/>
      <c r="N1078" s="338" t="s">
        <v>417</v>
      </c>
      <c r="O1078" s="338" t="s">
        <v>443</v>
      </c>
      <c r="P1078" s="338"/>
    </row>
    <row r="1079" spans="2:16" x14ac:dyDescent="0.25">
      <c r="B1079" s="336" t="s">
        <v>459</v>
      </c>
      <c r="C1079" s="337">
        <v>41009</v>
      </c>
      <c r="D1079" s="338" t="s">
        <v>6963</v>
      </c>
      <c r="E1079" s="338" t="s">
        <v>6962</v>
      </c>
      <c r="F1079" s="338"/>
      <c r="G1079" s="338">
        <v>128</v>
      </c>
      <c r="H1079" s="338" t="s">
        <v>425</v>
      </c>
      <c r="I1079" s="338" t="s">
        <v>411</v>
      </c>
      <c r="J1079" s="339"/>
      <c r="K1079" s="339"/>
      <c r="L1079" s="339" t="s">
        <v>409</v>
      </c>
      <c r="M1079" s="339" t="s">
        <v>409</v>
      </c>
      <c r="N1079" s="338" t="s">
        <v>417</v>
      </c>
      <c r="O1079" s="338" t="s">
        <v>409</v>
      </c>
      <c r="P1079" s="338"/>
    </row>
    <row r="1080" spans="2:16" x14ac:dyDescent="0.25">
      <c r="B1080" s="336" t="s">
        <v>416</v>
      </c>
      <c r="C1080" s="337">
        <v>41009</v>
      </c>
      <c r="D1080" s="338" t="s">
        <v>2496</v>
      </c>
      <c r="E1080" s="338" t="s">
        <v>6961</v>
      </c>
      <c r="F1080" s="338" t="s">
        <v>2495</v>
      </c>
      <c r="G1080" s="338">
        <v>47</v>
      </c>
      <c r="H1080" s="338" t="s">
        <v>425</v>
      </c>
      <c r="I1080" s="338" t="s">
        <v>411</v>
      </c>
      <c r="J1080" s="339"/>
      <c r="K1080" s="339"/>
      <c r="L1080" s="339"/>
      <c r="M1080" s="339"/>
      <c r="N1080" s="338" t="s">
        <v>417</v>
      </c>
      <c r="O1080" s="338" t="s">
        <v>443</v>
      </c>
      <c r="P1080" s="338" t="s">
        <v>417</v>
      </c>
    </row>
    <row r="1081" spans="2:16" x14ac:dyDescent="0.25">
      <c r="B1081" s="336" t="s">
        <v>416</v>
      </c>
      <c r="C1081" s="337">
        <v>41008</v>
      </c>
      <c r="D1081" s="338" t="s">
        <v>3215</v>
      </c>
      <c r="E1081" s="338" t="s">
        <v>6960</v>
      </c>
      <c r="F1081" s="338" t="s">
        <v>3214</v>
      </c>
      <c r="G1081" s="338" t="s">
        <v>413</v>
      </c>
      <c r="H1081" s="338" t="s">
        <v>412</v>
      </c>
      <c r="I1081" s="338" t="s">
        <v>411</v>
      </c>
      <c r="J1081" s="339"/>
      <c r="K1081" s="339"/>
      <c r="L1081" s="339">
        <v>14.42</v>
      </c>
      <c r="M1081" s="339"/>
      <c r="N1081" s="338" t="s">
        <v>410</v>
      </c>
      <c r="O1081" s="338" t="s">
        <v>410</v>
      </c>
      <c r="P1081" s="338" t="s">
        <v>487</v>
      </c>
    </row>
    <row r="1082" spans="2:16" x14ac:dyDescent="0.25">
      <c r="B1082" s="336" t="s">
        <v>416</v>
      </c>
      <c r="C1082" s="337">
        <v>41004</v>
      </c>
      <c r="D1082" s="338" t="s">
        <v>6959</v>
      </c>
      <c r="E1082" s="338" t="s">
        <v>6804</v>
      </c>
      <c r="F1082" s="338"/>
      <c r="G1082" s="338" t="s">
        <v>413</v>
      </c>
      <c r="H1082" s="338" t="s">
        <v>425</v>
      </c>
      <c r="I1082" s="338" t="s">
        <v>411</v>
      </c>
      <c r="J1082" s="339"/>
      <c r="K1082" s="339"/>
      <c r="L1082" s="339" t="s">
        <v>409</v>
      </c>
      <c r="M1082" s="339" t="s">
        <v>409</v>
      </c>
      <c r="N1082" s="338"/>
      <c r="O1082" s="338" t="s">
        <v>409</v>
      </c>
      <c r="P1082" s="338" t="s">
        <v>410</v>
      </c>
    </row>
    <row r="1083" spans="2:16" x14ac:dyDescent="0.25">
      <c r="B1083" s="336" t="s">
        <v>416</v>
      </c>
      <c r="C1083" s="337">
        <v>41003</v>
      </c>
      <c r="D1083" s="338" t="s">
        <v>6958</v>
      </c>
      <c r="E1083" s="338" t="s">
        <v>2775</v>
      </c>
      <c r="F1083" s="338" t="s">
        <v>6957</v>
      </c>
      <c r="G1083" s="338">
        <v>20</v>
      </c>
      <c r="H1083" s="338" t="s">
        <v>425</v>
      </c>
      <c r="I1083" s="338" t="s">
        <v>411</v>
      </c>
      <c r="J1083" s="339"/>
      <c r="K1083" s="339"/>
      <c r="L1083" s="339">
        <v>0.85795299999999997</v>
      </c>
      <c r="M1083" s="339">
        <v>48.919800000000002</v>
      </c>
      <c r="N1083" s="338"/>
      <c r="O1083" s="338" t="s">
        <v>417</v>
      </c>
      <c r="P1083" s="338" t="s">
        <v>417</v>
      </c>
    </row>
    <row r="1084" spans="2:16" x14ac:dyDescent="0.25">
      <c r="B1084" s="336" t="s">
        <v>416</v>
      </c>
      <c r="C1084" s="337">
        <v>41003</v>
      </c>
      <c r="D1084" s="338" t="s">
        <v>2903</v>
      </c>
      <c r="E1084" s="338" t="s">
        <v>1244</v>
      </c>
      <c r="F1084" s="338" t="s">
        <v>6086</v>
      </c>
      <c r="G1084" s="338" t="s">
        <v>413</v>
      </c>
      <c r="H1084" s="338" t="s">
        <v>425</v>
      </c>
      <c r="I1084" s="338" t="s">
        <v>411</v>
      </c>
      <c r="J1084" s="339"/>
      <c r="K1084" s="339"/>
      <c r="L1084" s="339">
        <v>8.6521399999999993</v>
      </c>
      <c r="M1084" s="339">
        <v>12.0482</v>
      </c>
      <c r="N1084" s="338" t="s">
        <v>417</v>
      </c>
      <c r="O1084" s="338" t="s">
        <v>443</v>
      </c>
      <c r="P1084" s="338" t="s">
        <v>443</v>
      </c>
    </row>
    <row r="1085" spans="2:16" x14ac:dyDescent="0.25">
      <c r="B1085" s="336" t="s">
        <v>416</v>
      </c>
      <c r="C1085" s="337">
        <v>41003</v>
      </c>
      <c r="D1085" s="338" t="s">
        <v>1750</v>
      </c>
      <c r="E1085" s="338" t="s">
        <v>6956</v>
      </c>
      <c r="F1085" s="338" t="s">
        <v>3171</v>
      </c>
      <c r="G1085" s="338" t="s">
        <v>413</v>
      </c>
      <c r="H1085" s="338" t="s">
        <v>412</v>
      </c>
      <c r="I1085" s="338" t="s">
        <v>411</v>
      </c>
      <c r="J1085" s="339">
        <v>0.40052700000000002</v>
      </c>
      <c r="K1085" s="339"/>
      <c r="L1085" s="339"/>
      <c r="M1085" s="339"/>
      <c r="N1085" s="338" t="s">
        <v>417</v>
      </c>
      <c r="O1085" s="338" t="s">
        <v>443</v>
      </c>
      <c r="P1085" s="338" t="s">
        <v>417</v>
      </c>
    </row>
    <row r="1086" spans="2:16" x14ac:dyDescent="0.25">
      <c r="B1086" s="336" t="s">
        <v>416</v>
      </c>
      <c r="C1086" s="337">
        <v>41002</v>
      </c>
      <c r="D1086" s="338" t="s">
        <v>1329</v>
      </c>
      <c r="E1086" s="338" t="s">
        <v>6955</v>
      </c>
      <c r="F1086" s="338" t="s">
        <v>3263</v>
      </c>
      <c r="G1086" s="338" t="s">
        <v>413</v>
      </c>
      <c r="H1086" s="338" t="s">
        <v>425</v>
      </c>
      <c r="I1086" s="338" t="s">
        <v>411</v>
      </c>
      <c r="J1086" s="339"/>
      <c r="K1086" s="339"/>
      <c r="L1086" s="339"/>
      <c r="M1086" s="339"/>
      <c r="N1086" s="338"/>
      <c r="O1086" s="338" t="s">
        <v>417</v>
      </c>
      <c r="P1086" s="338" t="s">
        <v>410</v>
      </c>
    </row>
    <row r="1087" spans="2:16" x14ac:dyDescent="0.25">
      <c r="B1087" s="336" t="s">
        <v>416</v>
      </c>
      <c r="C1087" s="337">
        <v>41002</v>
      </c>
      <c r="D1087" s="338" t="s">
        <v>6954</v>
      </c>
      <c r="E1087" s="338" t="s">
        <v>6953</v>
      </c>
      <c r="F1087" s="338"/>
      <c r="G1087" s="338" t="s">
        <v>413</v>
      </c>
      <c r="H1087" s="338" t="s">
        <v>412</v>
      </c>
      <c r="I1087" s="338" t="s">
        <v>411</v>
      </c>
      <c r="J1087" s="339"/>
      <c r="K1087" s="339"/>
      <c r="L1087" s="339" t="s">
        <v>409</v>
      </c>
      <c r="M1087" s="339" t="s">
        <v>409</v>
      </c>
      <c r="N1087" s="338" t="s">
        <v>417</v>
      </c>
      <c r="O1087" s="338" t="s">
        <v>409</v>
      </c>
      <c r="P1087" s="338" t="s">
        <v>410</v>
      </c>
    </row>
    <row r="1088" spans="2:16" x14ac:dyDescent="0.25">
      <c r="B1088" s="336" t="s">
        <v>416</v>
      </c>
      <c r="C1088" s="337">
        <v>41002</v>
      </c>
      <c r="D1088" s="338" t="s">
        <v>4429</v>
      </c>
      <c r="E1088" s="338" t="s">
        <v>6952</v>
      </c>
      <c r="F1088" s="338" t="s">
        <v>5781</v>
      </c>
      <c r="G1088" s="338">
        <v>2301.4499999999998</v>
      </c>
      <c r="H1088" s="338" t="s">
        <v>429</v>
      </c>
      <c r="I1088" s="338" t="s">
        <v>411</v>
      </c>
      <c r="J1088" s="339"/>
      <c r="K1088" s="339"/>
      <c r="L1088" s="339"/>
      <c r="M1088" s="339"/>
      <c r="N1088" s="338" t="s">
        <v>417</v>
      </c>
      <c r="O1088" s="338" t="s">
        <v>443</v>
      </c>
      <c r="P1088" s="338" t="s">
        <v>443</v>
      </c>
    </row>
    <row r="1089" spans="2:16" x14ac:dyDescent="0.25">
      <c r="B1089" s="336" t="s">
        <v>459</v>
      </c>
      <c r="C1089" s="337">
        <v>41002</v>
      </c>
      <c r="D1089" s="338" t="s">
        <v>4869</v>
      </c>
      <c r="E1089" s="338" t="s">
        <v>6951</v>
      </c>
      <c r="F1089" s="338"/>
      <c r="G1089" s="338" t="s">
        <v>413</v>
      </c>
      <c r="H1089" s="338" t="s">
        <v>425</v>
      </c>
      <c r="I1089" s="338" t="s">
        <v>411</v>
      </c>
      <c r="J1089" s="339"/>
      <c r="K1089" s="339"/>
      <c r="L1089" s="339" t="s">
        <v>409</v>
      </c>
      <c r="M1089" s="339" t="s">
        <v>409</v>
      </c>
      <c r="N1089" s="338" t="s">
        <v>417</v>
      </c>
      <c r="O1089" s="338" t="s">
        <v>409</v>
      </c>
      <c r="P1089" s="338" t="s">
        <v>443</v>
      </c>
    </row>
    <row r="1090" spans="2:16" x14ac:dyDescent="0.25">
      <c r="B1090" s="336" t="s">
        <v>416</v>
      </c>
      <c r="C1090" s="337">
        <v>41002</v>
      </c>
      <c r="D1090" s="338" t="s">
        <v>6950</v>
      </c>
      <c r="E1090" s="338" t="s">
        <v>3382</v>
      </c>
      <c r="F1090" s="338" t="s">
        <v>2003</v>
      </c>
      <c r="G1090" s="338" t="s">
        <v>413</v>
      </c>
      <c r="H1090" s="338" t="s">
        <v>412</v>
      </c>
      <c r="I1090" s="338" t="s">
        <v>411</v>
      </c>
      <c r="J1090" s="339"/>
      <c r="K1090" s="339"/>
      <c r="L1090" s="339">
        <v>2.1839200000000001</v>
      </c>
      <c r="M1090" s="339">
        <v>12.376300000000001</v>
      </c>
      <c r="N1090" s="338"/>
      <c r="O1090" s="338" t="s">
        <v>410</v>
      </c>
      <c r="P1090" s="338" t="s">
        <v>410</v>
      </c>
    </row>
    <row r="1091" spans="2:16" x14ac:dyDescent="0.25">
      <c r="B1091" s="336" t="s">
        <v>416</v>
      </c>
      <c r="C1091" s="337">
        <v>41002</v>
      </c>
      <c r="D1091" s="338" t="s">
        <v>6949</v>
      </c>
      <c r="E1091" s="338" t="s">
        <v>6948</v>
      </c>
      <c r="F1091" s="338" t="s">
        <v>6947</v>
      </c>
      <c r="G1091" s="338">
        <v>70</v>
      </c>
      <c r="H1091" s="338" t="s">
        <v>425</v>
      </c>
      <c r="I1091" s="338" t="s">
        <v>411</v>
      </c>
      <c r="J1091" s="339"/>
      <c r="K1091" s="339"/>
      <c r="L1091" s="339"/>
      <c r="M1091" s="339"/>
      <c r="N1091" s="338"/>
      <c r="O1091" s="338" t="s">
        <v>417</v>
      </c>
      <c r="P1091" s="338" t="s">
        <v>417</v>
      </c>
    </row>
    <row r="1092" spans="2:16" x14ac:dyDescent="0.25">
      <c r="B1092" s="336" t="s">
        <v>416</v>
      </c>
      <c r="C1092" s="337">
        <v>41002</v>
      </c>
      <c r="D1092" s="338" t="s">
        <v>6946</v>
      </c>
      <c r="E1092" s="338" t="s">
        <v>5984</v>
      </c>
      <c r="F1092" s="338" t="s">
        <v>2003</v>
      </c>
      <c r="G1092" s="338" t="s">
        <v>413</v>
      </c>
      <c r="H1092" s="338" t="s">
        <v>412</v>
      </c>
      <c r="I1092" s="338" t="s">
        <v>411</v>
      </c>
      <c r="J1092" s="339"/>
      <c r="K1092" s="339"/>
      <c r="L1092" s="339">
        <v>2.1839200000000001</v>
      </c>
      <c r="M1092" s="339">
        <v>12.376300000000001</v>
      </c>
      <c r="N1092" s="338"/>
      <c r="O1092" s="338" t="s">
        <v>410</v>
      </c>
      <c r="P1092" s="338" t="s">
        <v>410</v>
      </c>
    </row>
    <row r="1093" spans="2:16" x14ac:dyDescent="0.25">
      <c r="B1093" s="336" t="s">
        <v>416</v>
      </c>
      <c r="C1093" s="337">
        <v>41001</v>
      </c>
      <c r="D1093" s="338" t="s">
        <v>6945</v>
      </c>
      <c r="E1093" s="338" t="s">
        <v>6944</v>
      </c>
      <c r="F1093" s="338"/>
      <c r="G1093" s="338">
        <v>158.66999999999999</v>
      </c>
      <c r="H1093" s="338" t="s">
        <v>429</v>
      </c>
      <c r="I1093" s="338" t="s">
        <v>411</v>
      </c>
      <c r="J1093" s="339"/>
      <c r="K1093" s="339"/>
      <c r="L1093" s="339" t="s">
        <v>409</v>
      </c>
      <c r="M1093" s="339" t="s">
        <v>409</v>
      </c>
      <c r="N1093" s="338"/>
      <c r="O1093" s="338" t="s">
        <v>409</v>
      </c>
      <c r="P1093" s="338" t="s">
        <v>432</v>
      </c>
    </row>
    <row r="1094" spans="2:16" x14ac:dyDescent="0.25">
      <c r="B1094" s="336" t="s">
        <v>416</v>
      </c>
      <c r="C1094" s="337">
        <v>41001</v>
      </c>
      <c r="D1094" s="338" t="s">
        <v>6943</v>
      </c>
      <c r="E1094" s="338" t="s">
        <v>6942</v>
      </c>
      <c r="F1094" s="338" t="s">
        <v>6941</v>
      </c>
      <c r="G1094" s="338" t="s">
        <v>413</v>
      </c>
      <c r="H1094" s="338" t="s">
        <v>412</v>
      </c>
      <c r="I1094" s="338" t="s">
        <v>411</v>
      </c>
      <c r="J1094" s="339"/>
      <c r="K1094" s="339"/>
      <c r="L1094" s="339"/>
      <c r="M1094" s="339"/>
      <c r="N1094" s="338"/>
      <c r="O1094" s="338" t="s">
        <v>482</v>
      </c>
      <c r="P1094" s="338" t="s">
        <v>487</v>
      </c>
    </row>
    <row r="1095" spans="2:16" x14ac:dyDescent="0.25">
      <c r="B1095" s="336" t="s">
        <v>416</v>
      </c>
      <c r="C1095" s="337">
        <v>41001</v>
      </c>
      <c r="D1095" s="338" t="s">
        <v>6940</v>
      </c>
      <c r="E1095" s="338" t="s">
        <v>6939</v>
      </c>
      <c r="F1095" s="338"/>
      <c r="G1095" s="338" t="s">
        <v>413</v>
      </c>
      <c r="H1095" s="338" t="s">
        <v>412</v>
      </c>
      <c r="I1095" s="338" t="s">
        <v>411</v>
      </c>
      <c r="J1095" s="339"/>
      <c r="K1095" s="339"/>
      <c r="L1095" s="339" t="s">
        <v>409</v>
      </c>
      <c r="M1095" s="339" t="s">
        <v>409</v>
      </c>
      <c r="N1095" s="338" t="s">
        <v>432</v>
      </c>
      <c r="O1095" s="338" t="s">
        <v>409</v>
      </c>
      <c r="P1095" s="338" t="s">
        <v>417</v>
      </c>
    </row>
    <row r="1096" spans="2:16" x14ac:dyDescent="0.25">
      <c r="B1096" s="336" t="s">
        <v>416</v>
      </c>
      <c r="C1096" s="337">
        <v>41001</v>
      </c>
      <c r="D1096" s="338" t="s">
        <v>2653</v>
      </c>
      <c r="E1096" s="338" t="s">
        <v>6938</v>
      </c>
      <c r="F1096" s="338" t="s">
        <v>2652</v>
      </c>
      <c r="G1096" s="338" t="s">
        <v>413</v>
      </c>
      <c r="H1096" s="338" t="s">
        <v>425</v>
      </c>
      <c r="I1096" s="338" t="s">
        <v>411</v>
      </c>
      <c r="J1096" s="339"/>
      <c r="K1096" s="339"/>
      <c r="L1096" s="339"/>
      <c r="M1096" s="339"/>
      <c r="N1096" s="338" t="s">
        <v>417</v>
      </c>
      <c r="O1096" s="338" t="s">
        <v>443</v>
      </c>
      <c r="P1096" s="338"/>
    </row>
    <row r="1097" spans="2:16" x14ac:dyDescent="0.25">
      <c r="B1097" s="336" t="s">
        <v>416</v>
      </c>
      <c r="C1097" s="337">
        <v>40998</v>
      </c>
      <c r="D1097" s="338" t="s">
        <v>6937</v>
      </c>
      <c r="E1097" s="338" t="s">
        <v>463</v>
      </c>
      <c r="F1097" s="338"/>
      <c r="G1097" s="338" t="s">
        <v>413</v>
      </c>
      <c r="H1097" s="338" t="s">
        <v>425</v>
      </c>
      <c r="I1097" s="338" t="s">
        <v>411</v>
      </c>
      <c r="J1097" s="339"/>
      <c r="K1097" s="339"/>
      <c r="L1097" s="339" t="s">
        <v>409</v>
      </c>
      <c r="M1097" s="339" t="s">
        <v>409</v>
      </c>
      <c r="N1097" s="338"/>
      <c r="O1097" s="338" t="s">
        <v>409</v>
      </c>
      <c r="P1097" s="338" t="s">
        <v>417</v>
      </c>
    </row>
    <row r="1098" spans="2:16" x14ac:dyDescent="0.25">
      <c r="B1098" s="336" t="s">
        <v>416</v>
      </c>
      <c r="C1098" s="337">
        <v>40998</v>
      </c>
      <c r="D1098" s="338" t="s">
        <v>6936</v>
      </c>
      <c r="E1098" s="338" t="s">
        <v>1777</v>
      </c>
      <c r="F1098" s="338"/>
      <c r="G1098" s="338" t="s">
        <v>413</v>
      </c>
      <c r="H1098" s="338" t="s">
        <v>412</v>
      </c>
      <c r="I1098" s="338" t="s">
        <v>411</v>
      </c>
      <c r="J1098" s="339"/>
      <c r="K1098" s="339"/>
      <c r="L1098" s="339" t="s">
        <v>409</v>
      </c>
      <c r="M1098" s="339" t="s">
        <v>409</v>
      </c>
      <c r="N1098" s="338" t="s">
        <v>432</v>
      </c>
      <c r="O1098" s="338" t="s">
        <v>409</v>
      </c>
      <c r="P1098" s="338" t="s">
        <v>417</v>
      </c>
    </row>
    <row r="1099" spans="2:16" x14ac:dyDescent="0.25">
      <c r="B1099" s="336" t="s">
        <v>459</v>
      </c>
      <c r="C1099" s="337">
        <v>40996</v>
      </c>
      <c r="D1099" s="338" t="s">
        <v>3244</v>
      </c>
      <c r="E1099" s="338" t="s">
        <v>6935</v>
      </c>
      <c r="F1099" s="338"/>
      <c r="G1099" s="338">
        <v>65</v>
      </c>
      <c r="H1099" s="338" t="s">
        <v>425</v>
      </c>
      <c r="I1099" s="338" t="s">
        <v>411</v>
      </c>
      <c r="J1099" s="339"/>
      <c r="K1099" s="339"/>
      <c r="L1099" s="339" t="s">
        <v>409</v>
      </c>
      <c r="M1099" s="339" t="s">
        <v>409</v>
      </c>
      <c r="N1099" s="338" t="s">
        <v>410</v>
      </c>
      <c r="O1099" s="338" t="s">
        <v>409</v>
      </c>
      <c r="P1099" s="338"/>
    </row>
    <row r="1100" spans="2:16" x14ac:dyDescent="0.25">
      <c r="B1100" s="336" t="s">
        <v>416</v>
      </c>
      <c r="C1100" s="337">
        <v>40995</v>
      </c>
      <c r="D1100" s="338" t="s">
        <v>6934</v>
      </c>
      <c r="E1100" s="338" t="s">
        <v>6933</v>
      </c>
      <c r="F1100" s="338"/>
      <c r="G1100" s="338">
        <v>2000</v>
      </c>
      <c r="H1100" s="338" t="s">
        <v>412</v>
      </c>
      <c r="I1100" s="338" t="s">
        <v>411</v>
      </c>
      <c r="J1100" s="339"/>
      <c r="K1100" s="339"/>
      <c r="L1100" s="339" t="s">
        <v>409</v>
      </c>
      <c r="M1100" s="339" t="s">
        <v>409</v>
      </c>
      <c r="N1100" s="338" t="s">
        <v>417</v>
      </c>
      <c r="O1100" s="338" t="s">
        <v>409</v>
      </c>
      <c r="P1100" s="338" t="s">
        <v>443</v>
      </c>
    </row>
    <row r="1101" spans="2:16" x14ac:dyDescent="0.25">
      <c r="B1101" s="336" t="s">
        <v>416</v>
      </c>
      <c r="C1101" s="337">
        <v>40994</v>
      </c>
      <c r="D1101" s="338" t="s">
        <v>6932</v>
      </c>
      <c r="E1101" s="338" t="s">
        <v>6931</v>
      </c>
      <c r="F1101" s="338" t="s">
        <v>6930</v>
      </c>
      <c r="G1101" s="338" t="s">
        <v>413</v>
      </c>
      <c r="H1101" s="338" t="s">
        <v>425</v>
      </c>
      <c r="I1101" s="338" t="s">
        <v>411</v>
      </c>
      <c r="J1101" s="339"/>
      <c r="K1101" s="339"/>
      <c r="L1101" s="339"/>
      <c r="M1101" s="339"/>
      <c r="N1101" s="338"/>
      <c r="O1101" s="338" t="s">
        <v>417</v>
      </c>
      <c r="P1101" s="338" t="s">
        <v>410</v>
      </c>
    </row>
    <row r="1102" spans="2:16" x14ac:dyDescent="0.25">
      <c r="B1102" s="336" t="s">
        <v>416</v>
      </c>
      <c r="C1102" s="337">
        <v>40994</v>
      </c>
      <c r="D1102" s="338" t="s">
        <v>6929</v>
      </c>
      <c r="E1102" s="338" t="s">
        <v>6079</v>
      </c>
      <c r="F1102" s="338" t="s">
        <v>5781</v>
      </c>
      <c r="G1102" s="338">
        <v>16.8</v>
      </c>
      <c r="H1102" s="338" t="s">
        <v>425</v>
      </c>
      <c r="I1102" s="338" t="s">
        <v>411</v>
      </c>
      <c r="J1102" s="339"/>
      <c r="K1102" s="339"/>
      <c r="L1102" s="339"/>
      <c r="M1102" s="339"/>
      <c r="N1102" s="338"/>
      <c r="O1102" s="338" t="s">
        <v>443</v>
      </c>
      <c r="P1102" s="338" t="s">
        <v>417</v>
      </c>
    </row>
    <row r="1103" spans="2:16" x14ac:dyDescent="0.25">
      <c r="B1103" s="336" t="s">
        <v>416</v>
      </c>
      <c r="C1103" s="337">
        <v>40994</v>
      </c>
      <c r="D1103" s="338" t="s">
        <v>6928</v>
      </c>
      <c r="E1103" s="338" t="s">
        <v>6927</v>
      </c>
      <c r="F1103" s="338"/>
      <c r="G1103" s="338" t="s">
        <v>413</v>
      </c>
      <c r="H1103" s="338" t="s">
        <v>412</v>
      </c>
      <c r="I1103" s="338" t="s">
        <v>411</v>
      </c>
      <c r="J1103" s="339"/>
      <c r="K1103" s="339"/>
      <c r="L1103" s="339" t="s">
        <v>409</v>
      </c>
      <c r="M1103" s="339" t="s">
        <v>409</v>
      </c>
      <c r="N1103" s="338" t="s">
        <v>417</v>
      </c>
      <c r="O1103" s="338" t="s">
        <v>409</v>
      </c>
      <c r="P1103" s="338" t="s">
        <v>417</v>
      </c>
    </row>
    <row r="1104" spans="2:16" x14ac:dyDescent="0.25">
      <c r="B1104" s="336" t="s">
        <v>416</v>
      </c>
      <c r="C1104" s="337">
        <v>40990</v>
      </c>
      <c r="D1104" s="338" t="s">
        <v>6926</v>
      </c>
      <c r="E1104" s="338" t="s">
        <v>4901</v>
      </c>
      <c r="F1104" s="338"/>
      <c r="G1104" s="338">
        <v>98</v>
      </c>
      <c r="H1104" s="338" t="s">
        <v>425</v>
      </c>
      <c r="I1104" s="338" t="s">
        <v>1243</v>
      </c>
      <c r="J1104" s="339"/>
      <c r="K1104" s="339"/>
      <c r="L1104" s="339" t="s">
        <v>409</v>
      </c>
      <c r="M1104" s="339" t="s">
        <v>409</v>
      </c>
      <c r="N1104" s="338" t="s">
        <v>487</v>
      </c>
      <c r="O1104" s="338" t="s">
        <v>409</v>
      </c>
      <c r="P1104" s="338" t="s">
        <v>417</v>
      </c>
    </row>
    <row r="1105" spans="2:16" x14ac:dyDescent="0.25">
      <c r="B1105" s="336" t="s">
        <v>416</v>
      </c>
      <c r="C1105" s="337">
        <v>40990</v>
      </c>
      <c r="D1105" s="338" t="s">
        <v>6925</v>
      </c>
      <c r="E1105" s="338" t="s">
        <v>6924</v>
      </c>
      <c r="F1105" s="338"/>
      <c r="G1105" s="338" t="s">
        <v>413</v>
      </c>
      <c r="H1105" s="338" t="s">
        <v>412</v>
      </c>
      <c r="I1105" s="338" t="s">
        <v>411</v>
      </c>
      <c r="J1105" s="339"/>
      <c r="K1105" s="339"/>
      <c r="L1105" s="339" t="s">
        <v>409</v>
      </c>
      <c r="M1105" s="339" t="s">
        <v>409</v>
      </c>
      <c r="N1105" s="338" t="s">
        <v>432</v>
      </c>
      <c r="O1105" s="338" t="s">
        <v>409</v>
      </c>
      <c r="P1105" s="338" t="s">
        <v>417</v>
      </c>
    </row>
    <row r="1106" spans="2:16" x14ac:dyDescent="0.25">
      <c r="B1106" s="336" t="s">
        <v>416</v>
      </c>
      <c r="C1106" s="337">
        <v>40990</v>
      </c>
      <c r="D1106" s="338" t="s">
        <v>6923</v>
      </c>
      <c r="E1106" s="338" t="s">
        <v>3495</v>
      </c>
      <c r="F1106" s="338" t="s">
        <v>6922</v>
      </c>
      <c r="G1106" s="338" t="s">
        <v>413</v>
      </c>
      <c r="H1106" s="338" t="s">
        <v>425</v>
      </c>
      <c r="I1106" s="338" t="s">
        <v>411</v>
      </c>
      <c r="J1106" s="339">
        <v>0.58320799999999995</v>
      </c>
      <c r="K1106" s="339">
        <v>9.5937999999999999</v>
      </c>
      <c r="L1106" s="339"/>
      <c r="M1106" s="339"/>
      <c r="N1106" s="338" t="s">
        <v>417</v>
      </c>
      <c r="O1106" s="338" t="s">
        <v>443</v>
      </c>
      <c r="P1106" s="338" t="s">
        <v>443</v>
      </c>
    </row>
    <row r="1107" spans="2:16" x14ac:dyDescent="0.25">
      <c r="B1107" s="336" t="s">
        <v>459</v>
      </c>
      <c r="C1107" s="337">
        <v>40990</v>
      </c>
      <c r="D1107" s="338" t="s">
        <v>6921</v>
      </c>
      <c r="E1107" s="338" t="s">
        <v>716</v>
      </c>
      <c r="F1107" s="338"/>
      <c r="G1107" s="338" t="s">
        <v>413</v>
      </c>
      <c r="H1107" s="338" t="s">
        <v>425</v>
      </c>
      <c r="I1107" s="338" t="s">
        <v>411</v>
      </c>
      <c r="J1107" s="339"/>
      <c r="K1107" s="339"/>
      <c r="L1107" s="339" t="s">
        <v>409</v>
      </c>
      <c r="M1107" s="339" t="s">
        <v>409</v>
      </c>
      <c r="N1107" s="338" t="s">
        <v>417</v>
      </c>
      <c r="O1107" s="338" t="s">
        <v>409</v>
      </c>
      <c r="P1107" s="338" t="s">
        <v>443</v>
      </c>
    </row>
    <row r="1108" spans="2:16" x14ac:dyDescent="0.25">
      <c r="B1108" s="336" t="s">
        <v>416</v>
      </c>
      <c r="C1108" s="337">
        <v>40988</v>
      </c>
      <c r="D1108" s="338" t="s">
        <v>956</v>
      </c>
      <c r="E1108" s="338" t="s">
        <v>6920</v>
      </c>
      <c r="F1108" s="338" t="s">
        <v>6919</v>
      </c>
      <c r="G1108" s="338" t="s">
        <v>413</v>
      </c>
      <c r="H1108" s="338" t="s">
        <v>425</v>
      </c>
      <c r="I1108" s="338" t="s">
        <v>411</v>
      </c>
      <c r="J1108" s="339"/>
      <c r="K1108" s="339"/>
      <c r="L1108" s="339"/>
      <c r="M1108" s="339"/>
      <c r="N1108" s="338"/>
      <c r="O1108" s="338" t="s">
        <v>410</v>
      </c>
      <c r="P1108" s="338" t="s">
        <v>417</v>
      </c>
    </row>
    <row r="1109" spans="2:16" x14ac:dyDescent="0.25">
      <c r="B1109" s="336" t="s">
        <v>1441</v>
      </c>
      <c r="C1109" s="337">
        <v>40988</v>
      </c>
      <c r="D1109" s="338" t="s">
        <v>6918</v>
      </c>
      <c r="E1109" s="338" t="s">
        <v>6861</v>
      </c>
      <c r="F1109" s="338"/>
      <c r="G1109" s="338" t="s">
        <v>413</v>
      </c>
      <c r="H1109" s="338" t="s">
        <v>412</v>
      </c>
      <c r="I1109" s="338" t="s">
        <v>1243</v>
      </c>
      <c r="J1109" s="339"/>
      <c r="K1109" s="339"/>
      <c r="L1109" s="339" t="s">
        <v>409</v>
      </c>
      <c r="M1109" s="339" t="s">
        <v>409</v>
      </c>
      <c r="N1109" s="338" t="s">
        <v>432</v>
      </c>
      <c r="O1109" s="338" t="s">
        <v>409</v>
      </c>
      <c r="P1109" s="338" t="s">
        <v>417</v>
      </c>
    </row>
    <row r="1110" spans="2:16" x14ac:dyDescent="0.25">
      <c r="B1110" s="336" t="s">
        <v>416</v>
      </c>
      <c r="C1110" s="337">
        <v>40987</v>
      </c>
      <c r="D1110" s="338" t="s">
        <v>6917</v>
      </c>
      <c r="E1110" s="338" t="s">
        <v>6916</v>
      </c>
      <c r="F1110" s="338" t="s">
        <v>6915</v>
      </c>
      <c r="G1110" s="338" t="s">
        <v>413</v>
      </c>
      <c r="H1110" s="338" t="s">
        <v>425</v>
      </c>
      <c r="I1110" s="338" t="s">
        <v>411</v>
      </c>
      <c r="J1110" s="339"/>
      <c r="K1110" s="339"/>
      <c r="L1110" s="339"/>
      <c r="M1110" s="339"/>
      <c r="N1110" s="338"/>
      <c r="O1110" s="338" t="s">
        <v>605</v>
      </c>
      <c r="P1110" s="338" t="s">
        <v>417</v>
      </c>
    </row>
    <row r="1111" spans="2:16" x14ac:dyDescent="0.25">
      <c r="B1111" s="336" t="s">
        <v>416</v>
      </c>
      <c r="C1111" s="337">
        <v>40987</v>
      </c>
      <c r="D1111" s="338" t="s">
        <v>6914</v>
      </c>
      <c r="E1111" s="338" t="s">
        <v>889</v>
      </c>
      <c r="F1111" s="338"/>
      <c r="G1111" s="338" t="s">
        <v>413</v>
      </c>
      <c r="H1111" s="338" t="s">
        <v>412</v>
      </c>
      <c r="I1111" s="338" t="s">
        <v>411</v>
      </c>
      <c r="J1111" s="339"/>
      <c r="K1111" s="339"/>
      <c r="L1111" s="339" t="s">
        <v>409</v>
      </c>
      <c r="M1111" s="339" t="s">
        <v>409</v>
      </c>
      <c r="N1111" s="338" t="s">
        <v>410</v>
      </c>
      <c r="O1111" s="338" t="s">
        <v>409</v>
      </c>
      <c r="P1111" s="338" t="s">
        <v>410</v>
      </c>
    </row>
    <row r="1112" spans="2:16" x14ac:dyDescent="0.25">
      <c r="B1112" s="336" t="s">
        <v>416</v>
      </c>
      <c r="C1112" s="337">
        <v>40984</v>
      </c>
      <c r="D1112" s="338" t="s">
        <v>6913</v>
      </c>
      <c r="E1112" s="338" t="s">
        <v>6912</v>
      </c>
      <c r="F1112" s="338" t="s">
        <v>538</v>
      </c>
      <c r="G1112" s="338">
        <v>460</v>
      </c>
      <c r="H1112" s="338" t="s">
        <v>780</v>
      </c>
      <c r="I1112" s="338" t="s">
        <v>1243</v>
      </c>
      <c r="J1112" s="339"/>
      <c r="K1112" s="339"/>
      <c r="L1112" s="339">
        <v>0.21088399999999999</v>
      </c>
      <c r="M1112" s="339">
        <v>238.93199999999999</v>
      </c>
      <c r="N1112" s="338"/>
      <c r="O1112" s="338" t="s">
        <v>417</v>
      </c>
      <c r="P1112" s="338" t="s">
        <v>443</v>
      </c>
    </row>
    <row r="1113" spans="2:16" x14ac:dyDescent="0.25">
      <c r="B1113" s="336" t="s">
        <v>416</v>
      </c>
      <c r="C1113" s="337">
        <v>40983</v>
      </c>
      <c r="D1113" s="338" t="s">
        <v>6911</v>
      </c>
      <c r="E1113" s="338" t="s">
        <v>1386</v>
      </c>
      <c r="F1113" s="338" t="s">
        <v>1956</v>
      </c>
      <c r="G1113" s="338">
        <v>13.4</v>
      </c>
      <c r="H1113" s="338" t="s">
        <v>425</v>
      </c>
      <c r="I1113" s="338" t="s">
        <v>411</v>
      </c>
      <c r="J1113" s="339"/>
      <c r="K1113" s="339"/>
      <c r="L1113" s="339">
        <v>1.6178600000000001</v>
      </c>
      <c r="M1113" s="339">
        <v>11.124700000000001</v>
      </c>
      <c r="N1113" s="338" t="s">
        <v>432</v>
      </c>
      <c r="O1113" s="338" t="s">
        <v>432</v>
      </c>
      <c r="P1113" s="338" t="s">
        <v>417</v>
      </c>
    </row>
    <row r="1114" spans="2:16" x14ac:dyDescent="0.25">
      <c r="B1114" s="336" t="s">
        <v>416</v>
      </c>
      <c r="C1114" s="337">
        <v>40982</v>
      </c>
      <c r="D1114" s="338" t="s">
        <v>6910</v>
      </c>
      <c r="E1114" s="338" t="s">
        <v>6909</v>
      </c>
      <c r="F1114" s="338"/>
      <c r="G1114" s="338">
        <v>21</v>
      </c>
      <c r="H1114" s="338" t="s">
        <v>425</v>
      </c>
      <c r="I1114" s="338" t="s">
        <v>411</v>
      </c>
      <c r="J1114" s="339"/>
      <c r="K1114" s="339"/>
      <c r="L1114" s="339" t="s">
        <v>409</v>
      </c>
      <c r="M1114" s="339" t="s">
        <v>409</v>
      </c>
      <c r="N1114" s="338" t="s">
        <v>417</v>
      </c>
      <c r="O1114" s="338" t="s">
        <v>409</v>
      </c>
      <c r="P1114" s="338" t="s">
        <v>410</v>
      </c>
    </row>
    <row r="1115" spans="2:16" x14ac:dyDescent="0.25">
      <c r="B1115" s="336" t="s">
        <v>416</v>
      </c>
      <c r="C1115" s="337">
        <v>40981</v>
      </c>
      <c r="D1115" s="338" t="s">
        <v>1621</v>
      </c>
      <c r="E1115" s="338" t="s">
        <v>1708</v>
      </c>
      <c r="F1115" s="338"/>
      <c r="G1115" s="338">
        <v>743.83</v>
      </c>
      <c r="H1115" s="338" t="s">
        <v>425</v>
      </c>
      <c r="I1115" s="338" t="s">
        <v>411</v>
      </c>
      <c r="J1115" s="339"/>
      <c r="K1115" s="339"/>
      <c r="L1115" s="339" t="s">
        <v>409</v>
      </c>
      <c r="M1115" s="339" t="s">
        <v>409</v>
      </c>
      <c r="N1115" s="338" t="s">
        <v>417</v>
      </c>
      <c r="O1115" s="338" t="s">
        <v>409</v>
      </c>
      <c r="P1115" s="338" t="s">
        <v>443</v>
      </c>
    </row>
    <row r="1116" spans="2:16" x14ac:dyDescent="0.25">
      <c r="B1116" s="336" t="s">
        <v>416</v>
      </c>
      <c r="C1116" s="337">
        <v>40981</v>
      </c>
      <c r="D1116" s="338" t="s">
        <v>6908</v>
      </c>
      <c r="E1116" s="338" t="s">
        <v>6907</v>
      </c>
      <c r="F1116" s="338"/>
      <c r="G1116" s="338" t="s">
        <v>413</v>
      </c>
      <c r="H1116" s="338" t="s">
        <v>425</v>
      </c>
      <c r="I1116" s="338" t="s">
        <v>411</v>
      </c>
      <c r="J1116" s="339"/>
      <c r="K1116" s="339"/>
      <c r="L1116" s="339" t="s">
        <v>409</v>
      </c>
      <c r="M1116" s="339" t="s">
        <v>409</v>
      </c>
      <c r="N1116" s="338"/>
      <c r="O1116" s="338" t="s">
        <v>409</v>
      </c>
      <c r="P1116" s="338"/>
    </row>
    <row r="1117" spans="2:16" x14ac:dyDescent="0.25">
      <c r="B1117" s="336" t="s">
        <v>416</v>
      </c>
      <c r="C1117" s="337">
        <v>40980</v>
      </c>
      <c r="D1117" s="338" t="s">
        <v>692</v>
      </c>
      <c r="E1117" s="338" t="s">
        <v>4233</v>
      </c>
      <c r="F1117" s="338"/>
      <c r="G1117" s="338" t="s">
        <v>413</v>
      </c>
      <c r="H1117" s="338" t="s">
        <v>412</v>
      </c>
      <c r="I1117" s="338" t="s">
        <v>411</v>
      </c>
      <c r="J1117" s="339"/>
      <c r="K1117" s="339"/>
      <c r="L1117" s="339" t="s">
        <v>409</v>
      </c>
      <c r="M1117" s="339" t="s">
        <v>409</v>
      </c>
      <c r="N1117" s="338"/>
      <c r="O1117" s="338" t="s">
        <v>409</v>
      </c>
      <c r="P1117" s="338" t="s">
        <v>410</v>
      </c>
    </row>
    <row r="1118" spans="2:16" x14ac:dyDescent="0.25">
      <c r="B1118" s="336" t="s">
        <v>416</v>
      </c>
      <c r="C1118" s="337">
        <v>40980</v>
      </c>
      <c r="D1118" s="338" t="s">
        <v>945</v>
      </c>
      <c r="E1118" s="338" t="s">
        <v>6906</v>
      </c>
      <c r="F1118" s="338" t="s">
        <v>6905</v>
      </c>
      <c r="G1118" s="338" t="s">
        <v>413</v>
      </c>
      <c r="H1118" s="338" t="s">
        <v>412</v>
      </c>
      <c r="I1118" s="338" t="s">
        <v>411</v>
      </c>
      <c r="J1118" s="339"/>
      <c r="K1118" s="339"/>
      <c r="L1118" s="339"/>
      <c r="M1118" s="339"/>
      <c r="N1118" s="338"/>
      <c r="O1118" s="338" t="s">
        <v>417</v>
      </c>
      <c r="P1118" s="338" t="s">
        <v>417</v>
      </c>
    </row>
    <row r="1119" spans="2:16" x14ac:dyDescent="0.25">
      <c r="B1119" s="336" t="s">
        <v>459</v>
      </c>
      <c r="C1119" s="337">
        <v>40977</v>
      </c>
      <c r="D1119" s="338" t="s">
        <v>2190</v>
      </c>
      <c r="E1119" s="338" t="s">
        <v>2190</v>
      </c>
      <c r="F1119" s="338" t="s">
        <v>480</v>
      </c>
      <c r="G1119" s="338">
        <v>60.2</v>
      </c>
      <c r="H1119" s="338" t="s">
        <v>425</v>
      </c>
      <c r="I1119" s="338" t="s">
        <v>411</v>
      </c>
      <c r="J1119" s="339">
        <v>1.31223</v>
      </c>
      <c r="K1119" s="339">
        <v>10.9381</v>
      </c>
      <c r="L1119" s="339"/>
      <c r="M1119" s="339"/>
      <c r="N1119" s="338" t="s">
        <v>417</v>
      </c>
      <c r="O1119" s="338" t="s">
        <v>443</v>
      </c>
      <c r="P1119" s="338" t="s">
        <v>417</v>
      </c>
    </row>
    <row r="1120" spans="2:16" x14ac:dyDescent="0.25">
      <c r="B1120" s="336" t="s">
        <v>416</v>
      </c>
      <c r="C1120" s="337">
        <v>40976</v>
      </c>
      <c r="D1120" s="338" t="s">
        <v>945</v>
      </c>
      <c r="E1120" s="338" t="s">
        <v>6904</v>
      </c>
      <c r="F1120" s="338" t="s">
        <v>6903</v>
      </c>
      <c r="G1120" s="338" t="s">
        <v>413</v>
      </c>
      <c r="H1120" s="338" t="s">
        <v>412</v>
      </c>
      <c r="I1120" s="338" t="s">
        <v>411</v>
      </c>
      <c r="J1120" s="339"/>
      <c r="K1120" s="339"/>
      <c r="L1120" s="339"/>
      <c r="M1120" s="339"/>
      <c r="N1120" s="338"/>
      <c r="O1120" s="338" t="s">
        <v>417</v>
      </c>
      <c r="P1120" s="338" t="s">
        <v>417</v>
      </c>
    </row>
    <row r="1121" spans="2:16" x14ac:dyDescent="0.25">
      <c r="B1121" s="336" t="s">
        <v>1441</v>
      </c>
      <c r="C1121" s="337">
        <v>40976</v>
      </c>
      <c r="D1121" s="338" t="s">
        <v>1079</v>
      </c>
      <c r="E1121" s="338" t="s">
        <v>6902</v>
      </c>
      <c r="F1121" s="338"/>
      <c r="G1121" s="338" t="s">
        <v>413</v>
      </c>
      <c r="H1121" s="338" t="s">
        <v>412</v>
      </c>
      <c r="I1121" s="338" t="s">
        <v>411</v>
      </c>
      <c r="J1121" s="339">
        <v>3.8824299999999998</v>
      </c>
      <c r="K1121" s="339">
        <v>19.5014</v>
      </c>
      <c r="L1121" s="339" t="s">
        <v>409</v>
      </c>
      <c r="M1121" s="339" t="s">
        <v>409</v>
      </c>
      <c r="N1121" s="338" t="s">
        <v>417</v>
      </c>
      <c r="O1121" s="338" t="s">
        <v>409</v>
      </c>
      <c r="P1121" s="338" t="s">
        <v>410</v>
      </c>
    </row>
    <row r="1122" spans="2:16" x14ac:dyDescent="0.25">
      <c r="B1122" s="336" t="s">
        <v>416</v>
      </c>
      <c r="C1122" s="337">
        <v>40975</v>
      </c>
      <c r="D1122" s="338" t="s">
        <v>6901</v>
      </c>
      <c r="E1122" s="338" t="s">
        <v>6900</v>
      </c>
      <c r="F1122" s="338"/>
      <c r="G1122" s="338" t="s">
        <v>413</v>
      </c>
      <c r="H1122" s="338" t="s">
        <v>412</v>
      </c>
      <c r="I1122" s="338" t="s">
        <v>411</v>
      </c>
      <c r="J1122" s="339"/>
      <c r="K1122" s="339"/>
      <c r="L1122" s="339" t="s">
        <v>409</v>
      </c>
      <c r="M1122" s="339" t="s">
        <v>409</v>
      </c>
      <c r="N1122" s="338" t="s">
        <v>417</v>
      </c>
      <c r="O1122" s="338" t="s">
        <v>409</v>
      </c>
      <c r="P1122" s="338" t="s">
        <v>417</v>
      </c>
    </row>
    <row r="1123" spans="2:16" x14ac:dyDescent="0.25">
      <c r="B1123" s="336" t="s">
        <v>416</v>
      </c>
      <c r="C1123" s="337">
        <v>40975</v>
      </c>
      <c r="D1123" s="338" t="s">
        <v>6899</v>
      </c>
      <c r="E1123" s="338" t="s">
        <v>6898</v>
      </c>
      <c r="F1123" s="338"/>
      <c r="G1123" s="338" t="s">
        <v>413</v>
      </c>
      <c r="H1123" s="338" t="s">
        <v>425</v>
      </c>
      <c r="I1123" s="338" t="s">
        <v>411</v>
      </c>
      <c r="J1123" s="339"/>
      <c r="K1123" s="339"/>
      <c r="L1123" s="339" t="s">
        <v>409</v>
      </c>
      <c r="M1123" s="339" t="s">
        <v>409</v>
      </c>
      <c r="N1123" s="338" t="s">
        <v>417</v>
      </c>
      <c r="O1123" s="338" t="s">
        <v>409</v>
      </c>
      <c r="P1123" s="338" t="s">
        <v>443</v>
      </c>
    </row>
    <row r="1124" spans="2:16" x14ac:dyDescent="0.25">
      <c r="B1124" s="336" t="s">
        <v>459</v>
      </c>
      <c r="C1124" s="337">
        <v>40973</v>
      </c>
      <c r="D1124" s="338" t="s">
        <v>6897</v>
      </c>
      <c r="E1124" s="338" t="s">
        <v>514</v>
      </c>
      <c r="F1124" s="338"/>
      <c r="G1124" s="338">
        <v>0.2</v>
      </c>
      <c r="H1124" s="338" t="s">
        <v>425</v>
      </c>
      <c r="I1124" s="338" t="s">
        <v>411</v>
      </c>
      <c r="J1124" s="339"/>
      <c r="K1124" s="339"/>
      <c r="L1124" s="339" t="s">
        <v>409</v>
      </c>
      <c r="M1124" s="339" t="s">
        <v>409</v>
      </c>
      <c r="N1124" s="338" t="s">
        <v>410</v>
      </c>
      <c r="O1124" s="338" t="s">
        <v>409</v>
      </c>
      <c r="P1124" s="338"/>
    </row>
    <row r="1125" spans="2:16" x14ac:dyDescent="0.25">
      <c r="B1125" s="336" t="s">
        <v>416</v>
      </c>
      <c r="C1125" s="337">
        <v>40973</v>
      </c>
      <c r="D1125" s="338" t="s">
        <v>6896</v>
      </c>
      <c r="E1125" s="338" t="s">
        <v>6895</v>
      </c>
      <c r="F1125" s="338" t="s">
        <v>1140</v>
      </c>
      <c r="G1125" s="338">
        <v>45</v>
      </c>
      <c r="H1125" s="338" t="s">
        <v>425</v>
      </c>
      <c r="I1125" s="338" t="s">
        <v>411</v>
      </c>
      <c r="J1125" s="339"/>
      <c r="K1125" s="339"/>
      <c r="L1125" s="339">
        <v>1.38144</v>
      </c>
      <c r="M1125" s="339">
        <v>8.0563300000000009</v>
      </c>
      <c r="N1125" s="338" t="s">
        <v>417</v>
      </c>
      <c r="O1125" s="338" t="s">
        <v>417</v>
      </c>
      <c r="P1125" s="338" t="s">
        <v>417</v>
      </c>
    </row>
    <row r="1126" spans="2:16" x14ac:dyDescent="0.25">
      <c r="B1126" s="336" t="s">
        <v>416</v>
      </c>
      <c r="C1126" s="337">
        <v>40973</v>
      </c>
      <c r="D1126" s="338" t="s">
        <v>6894</v>
      </c>
      <c r="E1126" s="338" t="s">
        <v>6893</v>
      </c>
      <c r="F1126" s="338" t="s">
        <v>6892</v>
      </c>
      <c r="G1126" s="338" t="s">
        <v>413</v>
      </c>
      <c r="H1126" s="338" t="s">
        <v>425</v>
      </c>
      <c r="I1126" s="338" t="s">
        <v>411</v>
      </c>
      <c r="J1126" s="339"/>
      <c r="K1126" s="339"/>
      <c r="L1126" s="339"/>
      <c r="M1126" s="339"/>
      <c r="N1126" s="338"/>
      <c r="O1126" s="338" t="s">
        <v>410</v>
      </c>
      <c r="P1126" s="338" t="s">
        <v>417</v>
      </c>
    </row>
    <row r="1127" spans="2:16" x14ac:dyDescent="0.25">
      <c r="B1127" s="336" t="s">
        <v>416</v>
      </c>
      <c r="C1127" s="337">
        <v>40970</v>
      </c>
      <c r="D1127" s="338" t="s">
        <v>6891</v>
      </c>
      <c r="E1127" s="338" t="s">
        <v>3644</v>
      </c>
      <c r="F1127" s="338"/>
      <c r="G1127" s="338" t="s">
        <v>413</v>
      </c>
      <c r="H1127" s="338" t="s">
        <v>425</v>
      </c>
      <c r="I1127" s="338" t="s">
        <v>411</v>
      </c>
      <c r="J1127" s="339"/>
      <c r="K1127" s="339"/>
      <c r="L1127" s="339" t="s">
        <v>409</v>
      </c>
      <c r="M1127" s="339" t="s">
        <v>409</v>
      </c>
      <c r="N1127" s="338" t="s">
        <v>417</v>
      </c>
      <c r="O1127" s="338" t="s">
        <v>409</v>
      </c>
      <c r="P1127" s="338" t="s">
        <v>417</v>
      </c>
    </row>
    <row r="1128" spans="2:16" x14ac:dyDescent="0.25">
      <c r="B1128" s="336" t="s">
        <v>416</v>
      </c>
      <c r="C1128" s="337">
        <v>40970</v>
      </c>
      <c r="D1128" s="338" t="s">
        <v>6890</v>
      </c>
      <c r="E1128" s="338" t="s">
        <v>6889</v>
      </c>
      <c r="F1128" s="338" t="s">
        <v>6888</v>
      </c>
      <c r="G1128" s="338">
        <v>60</v>
      </c>
      <c r="H1128" s="338" t="s">
        <v>418</v>
      </c>
      <c r="I1128" s="338" t="s">
        <v>411</v>
      </c>
      <c r="J1128" s="339"/>
      <c r="K1128" s="339"/>
      <c r="L1128" s="339"/>
      <c r="M1128" s="339"/>
      <c r="N1128" s="338"/>
      <c r="O1128" s="338"/>
      <c r="P1128" s="338"/>
    </row>
    <row r="1129" spans="2:16" x14ac:dyDescent="0.25">
      <c r="B1129" s="336" t="s">
        <v>416</v>
      </c>
      <c r="C1129" s="337">
        <v>40970</v>
      </c>
      <c r="D1129" s="338" t="s">
        <v>6887</v>
      </c>
      <c r="E1129" s="338" t="s">
        <v>6886</v>
      </c>
      <c r="F1129" s="338"/>
      <c r="G1129" s="338" t="s">
        <v>413</v>
      </c>
      <c r="H1129" s="338" t="s">
        <v>425</v>
      </c>
      <c r="I1129" s="338" t="s">
        <v>411</v>
      </c>
      <c r="J1129" s="339"/>
      <c r="K1129" s="339"/>
      <c r="L1129" s="339" t="s">
        <v>409</v>
      </c>
      <c r="M1129" s="339" t="s">
        <v>409</v>
      </c>
      <c r="N1129" s="338" t="s">
        <v>410</v>
      </c>
      <c r="O1129" s="338" t="s">
        <v>409</v>
      </c>
      <c r="P1129" s="338" t="s">
        <v>443</v>
      </c>
    </row>
    <row r="1130" spans="2:16" x14ac:dyDescent="0.25">
      <c r="B1130" s="336" t="s">
        <v>416</v>
      </c>
      <c r="C1130" s="337">
        <v>40970</v>
      </c>
      <c r="D1130" s="338" t="s">
        <v>6885</v>
      </c>
      <c r="E1130" s="338" t="s">
        <v>4551</v>
      </c>
      <c r="F1130" s="338"/>
      <c r="G1130" s="338" t="s">
        <v>413</v>
      </c>
      <c r="H1130" s="338" t="s">
        <v>425</v>
      </c>
      <c r="I1130" s="338" t="s">
        <v>411</v>
      </c>
      <c r="J1130" s="339"/>
      <c r="K1130" s="339"/>
      <c r="L1130" s="339" t="s">
        <v>409</v>
      </c>
      <c r="M1130" s="339" t="s">
        <v>409</v>
      </c>
      <c r="N1130" s="338"/>
      <c r="O1130" s="338" t="s">
        <v>409</v>
      </c>
      <c r="P1130" s="338" t="s">
        <v>417</v>
      </c>
    </row>
    <row r="1131" spans="2:16" x14ac:dyDescent="0.25">
      <c r="B1131" s="336" t="s">
        <v>416</v>
      </c>
      <c r="C1131" s="337">
        <v>40970</v>
      </c>
      <c r="D1131" s="338" t="s">
        <v>6884</v>
      </c>
      <c r="E1131" s="338" t="s">
        <v>6883</v>
      </c>
      <c r="F1131" s="338" t="s">
        <v>1956</v>
      </c>
      <c r="G1131" s="338" t="s">
        <v>413</v>
      </c>
      <c r="H1131" s="338" t="s">
        <v>425</v>
      </c>
      <c r="I1131" s="338" t="s">
        <v>411</v>
      </c>
      <c r="J1131" s="339"/>
      <c r="K1131" s="339"/>
      <c r="L1131" s="339">
        <v>1.6178600000000001</v>
      </c>
      <c r="M1131" s="339">
        <v>11.124700000000001</v>
      </c>
      <c r="N1131" s="338" t="s">
        <v>417</v>
      </c>
      <c r="O1131" s="338" t="s">
        <v>432</v>
      </c>
      <c r="P1131" s="338" t="s">
        <v>432</v>
      </c>
    </row>
    <row r="1132" spans="2:16" x14ac:dyDescent="0.25">
      <c r="B1132" s="336" t="s">
        <v>1441</v>
      </c>
      <c r="C1132" s="337">
        <v>40970</v>
      </c>
      <c r="D1132" s="338" t="s">
        <v>6882</v>
      </c>
      <c r="E1132" s="338" t="s">
        <v>6881</v>
      </c>
      <c r="F1132" s="338"/>
      <c r="G1132" s="338" t="s">
        <v>413</v>
      </c>
      <c r="H1132" s="338" t="s">
        <v>412</v>
      </c>
      <c r="I1132" s="338" t="s">
        <v>1243</v>
      </c>
      <c r="J1132" s="339"/>
      <c r="K1132" s="339"/>
      <c r="L1132" s="339" t="s">
        <v>409</v>
      </c>
      <c r="M1132" s="339" t="s">
        <v>409</v>
      </c>
      <c r="N1132" s="338" t="s">
        <v>605</v>
      </c>
      <c r="O1132" s="338" t="s">
        <v>409</v>
      </c>
      <c r="P1132" s="338" t="s">
        <v>417</v>
      </c>
    </row>
    <row r="1133" spans="2:16" x14ac:dyDescent="0.25">
      <c r="B1133" s="336" t="s">
        <v>459</v>
      </c>
      <c r="C1133" s="337">
        <v>40968</v>
      </c>
      <c r="D1133" s="338" t="s">
        <v>6880</v>
      </c>
      <c r="E1133" s="338" t="s">
        <v>6879</v>
      </c>
      <c r="F1133" s="338"/>
      <c r="G1133" s="338">
        <v>15</v>
      </c>
      <c r="H1133" s="338" t="s">
        <v>425</v>
      </c>
      <c r="I1133" s="338" t="s">
        <v>411</v>
      </c>
      <c r="J1133" s="339"/>
      <c r="K1133" s="339"/>
      <c r="L1133" s="339" t="s">
        <v>409</v>
      </c>
      <c r="M1133" s="339" t="s">
        <v>409</v>
      </c>
      <c r="N1133" s="338" t="s">
        <v>605</v>
      </c>
      <c r="O1133" s="338" t="s">
        <v>409</v>
      </c>
      <c r="P1133" s="338"/>
    </row>
    <row r="1134" spans="2:16" x14ac:dyDescent="0.25">
      <c r="B1134" s="336" t="s">
        <v>416</v>
      </c>
      <c r="C1134" s="337">
        <v>40968</v>
      </c>
      <c r="D1134" s="338" t="s">
        <v>6878</v>
      </c>
      <c r="E1134" s="338" t="s">
        <v>6877</v>
      </c>
      <c r="F1134" s="338" t="s">
        <v>6876</v>
      </c>
      <c r="G1134" s="338">
        <v>150</v>
      </c>
      <c r="H1134" s="338" t="s">
        <v>425</v>
      </c>
      <c r="I1134" s="338" t="s">
        <v>1243</v>
      </c>
      <c r="J1134" s="339"/>
      <c r="K1134" s="339"/>
      <c r="L1134" s="339"/>
      <c r="M1134" s="339"/>
      <c r="N1134" s="338"/>
      <c r="O1134" s="338" t="s">
        <v>443</v>
      </c>
      <c r="P1134" s="338" t="s">
        <v>443</v>
      </c>
    </row>
    <row r="1135" spans="2:16" x14ac:dyDescent="0.25">
      <c r="B1135" s="336" t="s">
        <v>459</v>
      </c>
      <c r="C1135" s="337">
        <v>40968</v>
      </c>
      <c r="D1135" s="338" t="s">
        <v>6875</v>
      </c>
      <c r="E1135" s="338" t="s">
        <v>6874</v>
      </c>
      <c r="F1135" s="338"/>
      <c r="G1135" s="338">
        <v>18</v>
      </c>
      <c r="H1135" s="338" t="s">
        <v>425</v>
      </c>
      <c r="I1135" s="338" t="s">
        <v>411</v>
      </c>
      <c r="J1135" s="339"/>
      <c r="K1135" s="339"/>
      <c r="L1135" s="339" t="s">
        <v>409</v>
      </c>
      <c r="M1135" s="339" t="s">
        <v>409</v>
      </c>
      <c r="N1135" s="338" t="s">
        <v>432</v>
      </c>
      <c r="O1135" s="338" t="s">
        <v>409</v>
      </c>
      <c r="P1135" s="338"/>
    </row>
    <row r="1136" spans="2:16" x14ac:dyDescent="0.25">
      <c r="B1136" s="336" t="s">
        <v>416</v>
      </c>
      <c r="C1136" s="337">
        <v>40967</v>
      </c>
      <c r="D1136" s="338" t="s">
        <v>6873</v>
      </c>
      <c r="E1136" s="338" t="s">
        <v>5709</v>
      </c>
      <c r="F1136" s="338" t="s">
        <v>6872</v>
      </c>
      <c r="G1136" s="338" t="s">
        <v>413</v>
      </c>
      <c r="H1136" s="338" t="s">
        <v>425</v>
      </c>
      <c r="I1136" s="338" t="s">
        <v>411</v>
      </c>
      <c r="J1136" s="339"/>
      <c r="K1136" s="339"/>
      <c r="L1136" s="339"/>
      <c r="M1136" s="339"/>
      <c r="N1136" s="338"/>
      <c r="O1136" s="338" t="s">
        <v>410</v>
      </c>
      <c r="P1136" s="338" t="s">
        <v>410</v>
      </c>
    </row>
    <row r="1137" spans="2:16" x14ac:dyDescent="0.25">
      <c r="B1137" s="336" t="s">
        <v>416</v>
      </c>
      <c r="C1137" s="337">
        <v>40967</v>
      </c>
      <c r="D1137" s="338" t="s">
        <v>6871</v>
      </c>
      <c r="E1137" s="338" t="s">
        <v>6870</v>
      </c>
      <c r="F1137" s="338" t="s">
        <v>6869</v>
      </c>
      <c r="G1137" s="338">
        <v>97.5</v>
      </c>
      <c r="H1137" s="338" t="s">
        <v>425</v>
      </c>
      <c r="I1137" s="338" t="s">
        <v>411</v>
      </c>
      <c r="J1137" s="339"/>
      <c r="K1137" s="339"/>
      <c r="L1137" s="339"/>
      <c r="M1137" s="339"/>
      <c r="N1137" s="338"/>
      <c r="O1137" s="338"/>
      <c r="P1137" s="338" t="s">
        <v>417</v>
      </c>
    </row>
    <row r="1138" spans="2:16" x14ac:dyDescent="0.25">
      <c r="B1138" s="336" t="s">
        <v>416</v>
      </c>
      <c r="C1138" s="337">
        <v>40966</v>
      </c>
      <c r="D1138" s="338" t="s">
        <v>6868</v>
      </c>
      <c r="E1138" s="338" t="s">
        <v>6867</v>
      </c>
      <c r="F1138" s="338"/>
      <c r="G1138" s="338" t="s">
        <v>413</v>
      </c>
      <c r="H1138" s="338" t="s">
        <v>412</v>
      </c>
      <c r="I1138" s="338" t="s">
        <v>411</v>
      </c>
      <c r="J1138" s="339"/>
      <c r="K1138" s="339"/>
      <c r="L1138" s="339" t="s">
        <v>409</v>
      </c>
      <c r="M1138" s="339" t="s">
        <v>409</v>
      </c>
      <c r="N1138" s="338" t="s">
        <v>417</v>
      </c>
      <c r="O1138" s="338" t="s">
        <v>409</v>
      </c>
      <c r="P1138" s="338" t="s">
        <v>410</v>
      </c>
    </row>
    <row r="1139" spans="2:16" x14ac:dyDescent="0.25">
      <c r="B1139" s="336" t="s">
        <v>416</v>
      </c>
      <c r="C1139" s="337">
        <v>40963</v>
      </c>
      <c r="D1139" s="338" t="s">
        <v>3718</v>
      </c>
      <c r="E1139" s="338" t="s">
        <v>423</v>
      </c>
      <c r="F1139" s="338"/>
      <c r="G1139" s="338">
        <v>36.04</v>
      </c>
      <c r="H1139" s="338" t="s">
        <v>425</v>
      </c>
      <c r="I1139" s="338" t="s">
        <v>411</v>
      </c>
      <c r="J1139" s="339">
        <v>0.48184100000000002</v>
      </c>
      <c r="K1139" s="339">
        <v>10.4353</v>
      </c>
      <c r="L1139" s="339" t="s">
        <v>409</v>
      </c>
      <c r="M1139" s="339" t="s">
        <v>409</v>
      </c>
      <c r="N1139" s="338" t="s">
        <v>417</v>
      </c>
      <c r="O1139" s="338" t="s">
        <v>409</v>
      </c>
      <c r="P1139" s="338"/>
    </row>
    <row r="1140" spans="2:16" x14ac:dyDescent="0.25">
      <c r="B1140" s="336" t="s">
        <v>416</v>
      </c>
      <c r="C1140" s="337">
        <v>40963</v>
      </c>
      <c r="D1140" s="338" t="s">
        <v>6866</v>
      </c>
      <c r="E1140" s="338" t="s">
        <v>4640</v>
      </c>
      <c r="F1140" s="338" t="s">
        <v>6865</v>
      </c>
      <c r="G1140" s="338" t="s">
        <v>413</v>
      </c>
      <c r="H1140" s="338" t="s">
        <v>412</v>
      </c>
      <c r="I1140" s="338" t="s">
        <v>411</v>
      </c>
      <c r="J1140" s="339"/>
      <c r="K1140" s="339"/>
      <c r="L1140" s="339"/>
      <c r="M1140" s="339"/>
      <c r="N1140" s="338" t="s">
        <v>417</v>
      </c>
      <c r="O1140" s="338" t="s">
        <v>410</v>
      </c>
      <c r="P1140" s="338" t="s">
        <v>417</v>
      </c>
    </row>
    <row r="1141" spans="2:16" x14ac:dyDescent="0.25">
      <c r="B1141" s="336" t="s">
        <v>459</v>
      </c>
      <c r="C1141" s="337">
        <v>40962</v>
      </c>
      <c r="D1141" s="338" t="s">
        <v>6864</v>
      </c>
      <c r="E1141" s="338" t="s">
        <v>6863</v>
      </c>
      <c r="F1141" s="338"/>
      <c r="G1141" s="338" t="s">
        <v>413</v>
      </c>
      <c r="H1141" s="338" t="s">
        <v>425</v>
      </c>
      <c r="I1141" s="338" t="s">
        <v>411</v>
      </c>
      <c r="J1141" s="339"/>
      <c r="K1141" s="339"/>
      <c r="L1141" s="339" t="s">
        <v>409</v>
      </c>
      <c r="M1141" s="339" t="s">
        <v>409</v>
      </c>
      <c r="N1141" s="338" t="s">
        <v>417</v>
      </c>
      <c r="O1141" s="338" t="s">
        <v>409</v>
      </c>
      <c r="P1141" s="338" t="s">
        <v>443</v>
      </c>
    </row>
    <row r="1142" spans="2:16" x14ac:dyDescent="0.25">
      <c r="B1142" s="336" t="s">
        <v>416</v>
      </c>
      <c r="C1142" s="337">
        <v>40962</v>
      </c>
      <c r="D1142" s="338" t="s">
        <v>6862</v>
      </c>
      <c r="E1142" s="338" t="s">
        <v>6861</v>
      </c>
      <c r="F1142" s="338"/>
      <c r="G1142" s="338" t="s">
        <v>413</v>
      </c>
      <c r="H1142" s="338" t="s">
        <v>425</v>
      </c>
      <c r="I1142" s="338" t="s">
        <v>411</v>
      </c>
      <c r="J1142" s="339"/>
      <c r="K1142" s="339"/>
      <c r="L1142" s="339" t="s">
        <v>409</v>
      </c>
      <c r="M1142" s="339" t="s">
        <v>409</v>
      </c>
      <c r="N1142" s="338" t="s">
        <v>432</v>
      </c>
      <c r="O1142" s="338" t="s">
        <v>409</v>
      </c>
      <c r="P1142" s="338" t="s">
        <v>417</v>
      </c>
    </row>
    <row r="1143" spans="2:16" x14ac:dyDescent="0.25">
      <c r="B1143" s="336" t="s">
        <v>416</v>
      </c>
      <c r="C1143" s="337">
        <v>40962</v>
      </c>
      <c r="D1143" s="338" t="s">
        <v>6860</v>
      </c>
      <c r="E1143" s="338" t="s">
        <v>4627</v>
      </c>
      <c r="F1143" s="338"/>
      <c r="G1143" s="338" t="s">
        <v>413</v>
      </c>
      <c r="H1143" s="338" t="s">
        <v>412</v>
      </c>
      <c r="I1143" s="338" t="s">
        <v>411</v>
      </c>
      <c r="J1143" s="339"/>
      <c r="K1143" s="339"/>
      <c r="L1143" s="339" t="s">
        <v>409</v>
      </c>
      <c r="M1143" s="339" t="s">
        <v>409</v>
      </c>
      <c r="N1143" s="338" t="s">
        <v>408</v>
      </c>
      <c r="O1143" s="338" t="s">
        <v>409</v>
      </c>
      <c r="P1143" s="338" t="s">
        <v>417</v>
      </c>
    </row>
    <row r="1144" spans="2:16" x14ac:dyDescent="0.25">
      <c r="B1144" s="336" t="s">
        <v>416</v>
      </c>
      <c r="C1144" s="337">
        <v>40962</v>
      </c>
      <c r="D1144" s="338" t="s">
        <v>6859</v>
      </c>
      <c r="E1144" s="338" t="s">
        <v>2281</v>
      </c>
      <c r="F1144" s="338" t="s">
        <v>672</v>
      </c>
      <c r="G1144" s="338">
        <v>270</v>
      </c>
      <c r="H1144" s="338" t="s">
        <v>425</v>
      </c>
      <c r="I1144" s="338" t="s">
        <v>411</v>
      </c>
      <c r="J1144" s="339"/>
      <c r="K1144" s="339"/>
      <c r="L1144" s="339">
        <v>0.20780999999999999</v>
      </c>
      <c r="M1144" s="339"/>
      <c r="N1144" s="338"/>
      <c r="O1144" s="338" t="s">
        <v>417</v>
      </c>
      <c r="P1144" s="338" t="s">
        <v>443</v>
      </c>
    </row>
    <row r="1145" spans="2:16" x14ac:dyDescent="0.25">
      <c r="B1145" s="336" t="s">
        <v>416</v>
      </c>
      <c r="C1145" s="337">
        <v>40962</v>
      </c>
      <c r="D1145" s="338" t="s">
        <v>6858</v>
      </c>
      <c r="E1145" s="338" t="s">
        <v>3868</v>
      </c>
      <c r="F1145" s="338"/>
      <c r="G1145" s="338" t="s">
        <v>413</v>
      </c>
      <c r="H1145" s="338" t="s">
        <v>412</v>
      </c>
      <c r="I1145" s="338" t="s">
        <v>411</v>
      </c>
      <c r="J1145" s="339"/>
      <c r="K1145" s="339"/>
      <c r="L1145" s="339" t="s">
        <v>409</v>
      </c>
      <c r="M1145" s="339" t="s">
        <v>409</v>
      </c>
      <c r="N1145" s="338" t="s">
        <v>605</v>
      </c>
      <c r="O1145" s="338" t="s">
        <v>409</v>
      </c>
      <c r="P1145" s="338" t="s">
        <v>417</v>
      </c>
    </row>
    <row r="1146" spans="2:16" x14ac:dyDescent="0.25">
      <c r="B1146" s="336" t="s">
        <v>416</v>
      </c>
      <c r="C1146" s="337">
        <v>40961</v>
      </c>
      <c r="D1146" s="338" t="s">
        <v>6857</v>
      </c>
      <c r="E1146" s="338" t="s">
        <v>6258</v>
      </c>
      <c r="F1146" s="338"/>
      <c r="G1146" s="338" t="s">
        <v>413</v>
      </c>
      <c r="H1146" s="338" t="s">
        <v>412</v>
      </c>
      <c r="I1146" s="338" t="s">
        <v>411</v>
      </c>
      <c r="J1146" s="339"/>
      <c r="K1146" s="339"/>
      <c r="L1146" s="339" t="s">
        <v>409</v>
      </c>
      <c r="M1146" s="339" t="s">
        <v>409</v>
      </c>
      <c r="N1146" s="338" t="s">
        <v>417</v>
      </c>
      <c r="O1146" s="338" t="s">
        <v>409</v>
      </c>
      <c r="P1146" s="338" t="s">
        <v>410</v>
      </c>
    </row>
    <row r="1147" spans="2:16" x14ac:dyDescent="0.25">
      <c r="B1147" s="336" t="s">
        <v>416</v>
      </c>
      <c r="C1147" s="337">
        <v>40961</v>
      </c>
      <c r="D1147" s="338" t="s">
        <v>6856</v>
      </c>
      <c r="E1147" s="338" t="s">
        <v>761</v>
      </c>
      <c r="F1147" s="338"/>
      <c r="G1147" s="338">
        <v>18</v>
      </c>
      <c r="H1147" s="338" t="s">
        <v>425</v>
      </c>
      <c r="I1147" s="338" t="s">
        <v>411</v>
      </c>
      <c r="J1147" s="339"/>
      <c r="K1147" s="339"/>
      <c r="L1147" s="339" t="s">
        <v>409</v>
      </c>
      <c r="M1147" s="339" t="s">
        <v>409</v>
      </c>
      <c r="N1147" s="338" t="s">
        <v>417</v>
      </c>
      <c r="O1147" s="338" t="s">
        <v>409</v>
      </c>
      <c r="P1147" s="338" t="s">
        <v>417</v>
      </c>
    </row>
    <row r="1148" spans="2:16" x14ac:dyDescent="0.25">
      <c r="B1148" s="336" t="s">
        <v>416</v>
      </c>
      <c r="C1148" s="337">
        <v>40960</v>
      </c>
      <c r="D1148" s="338" t="s">
        <v>6855</v>
      </c>
      <c r="E1148" s="338" t="s">
        <v>5709</v>
      </c>
      <c r="F1148" s="338" t="s">
        <v>6854</v>
      </c>
      <c r="G1148" s="338" t="s">
        <v>413</v>
      </c>
      <c r="H1148" s="338" t="s">
        <v>425</v>
      </c>
      <c r="I1148" s="338" t="s">
        <v>411</v>
      </c>
      <c r="J1148" s="339"/>
      <c r="K1148" s="339"/>
      <c r="L1148" s="339"/>
      <c r="M1148" s="339"/>
      <c r="N1148" s="338"/>
      <c r="O1148" s="338"/>
      <c r="P1148" s="338" t="s">
        <v>410</v>
      </c>
    </row>
    <row r="1149" spans="2:16" x14ac:dyDescent="0.25">
      <c r="B1149" s="336" t="s">
        <v>416</v>
      </c>
      <c r="C1149" s="337">
        <v>40960</v>
      </c>
      <c r="D1149" s="338" t="s">
        <v>6853</v>
      </c>
      <c r="E1149" s="338" t="s">
        <v>2053</v>
      </c>
      <c r="F1149" s="338" t="s">
        <v>1032</v>
      </c>
      <c r="G1149" s="338">
        <v>18.8</v>
      </c>
      <c r="H1149" s="338" t="s">
        <v>425</v>
      </c>
      <c r="I1149" s="338" t="s">
        <v>411</v>
      </c>
      <c r="J1149" s="339"/>
      <c r="K1149" s="339"/>
      <c r="L1149" s="339">
        <v>2.6935500000000001</v>
      </c>
      <c r="M1149" s="339">
        <v>12.8904</v>
      </c>
      <c r="N1149" s="338"/>
      <c r="O1149" s="338" t="s">
        <v>417</v>
      </c>
      <c r="P1149" s="338" t="s">
        <v>417</v>
      </c>
    </row>
    <row r="1150" spans="2:16" x14ac:dyDescent="0.25">
      <c r="B1150" s="336" t="s">
        <v>416</v>
      </c>
      <c r="C1150" s="337">
        <v>40957</v>
      </c>
      <c r="D1150" s="338" t="s">
        <v>6852</v>
      </c>
      <c r="E1150" s="338" t="s">
        <v>3724</v>
      </c>
      <c r="F1150" s="338"/>
      <c r="G1150" s="338" t="s">
        <v>413</v>
      </c>
      <c r="H1150" s="338" t="s">
        <v>412</v>
      </c>
      <c r="I1150" s="338" t="s">
        <v>411</v>
      </c>
      <c r="J1150" s="339"/>
      <c r="K1150" s="339"/>
      <c r="L1150" s="339" t="s">
        <v>409</v>
      </c>
      <c r="M1150" s="339" t="s">
        <v>409</v>
      </c>
      <c r="N1150" s="338" t="s">
        <v>410</v>
      </c>
      <c r="O1150" s="338" t="s">
        <v>409</v>
      </c>
      <c r="P1150" s="338" t="s">
        <v>417</v>
      </c>
    </row>
    <row r="1151" spans="2:16" x14ac:dyDescent="0.25">
      <c r="B1151" s="336" t="s">
        <v>416</v>
      </c>
      <c r="C1151" s="337">
        <v>40956</v>
      </c>
      <c r="D1151" s="338" t="s">
        <v>6851</v>
      </c>
      <c r="E1151" s="338" t="s">
        <v>6850</v>
      </c>
      <c r="F1151" s="338"/>
      <c r="G1151" s="338" t="s">
        <v>413</v>
      </c>
      <c r="H1151" s="338" t="s">
        <v>412</v>
      </c>
      <c r="I1151" s="338" t="s">
        <v>411</v>
      </c>
      <c r="J1151" s="339"/>
      <c r="K1151" s="339"/>
      <c r="L1151" s="339" t="s">
        <v>409</v>
      </c>
      <c r="M1151" s="339" t="s">
        <v>409</v>
      </c>
      <c r="N1151" s="338" t="s">
        <v>417</v>
      </c>
      <c r="O1151" s="338" t="s">
        <v>409</v>
      </c>
      <c r="P1151" s="338" t="s">
        <v>543</v>
      </c>
    </row>
    <row r="1152" spans="2:16" x14ac:dyDescent="0.25">
      <c r="B1152" s="336" t="s">
        <v>416</v>
      </c>
      <c r="C1152" s="337">
        <v>40956</v>
      </c>
      <c r="D1152" s="338" t="s">
        <v>6849</v>
      </c>
      <c r="E1152" s="338" t="s">
        <v>6848</v>
      </c>
      <c r="F1152" s="338"/>
      <c r="G1152" s="338" t="s">
        <v>413</v>
      </c>
      <c r="H1152" s="338" t="s">
        <v>412</v>
      </c>
      <c r="I1152" s="338" t="s">
        <v>411</v>
      </c>
      <c r="J1152" s="339"/>
      <c r="K1152" s="339"/>
      <c r="L1152" s="339" t="s">
        <v>409</v>
      </c>
      <c r="M1152" s="339" t="s">
        <v>409</v>
      </c>
      <c r="N1152" s="338" t="s">
        <v>417</v>
      </c>
      <c r="O1152" s="338" t="s">
        <v>409</v>
      </c>
      <c r="P1152" s="338"/>
    </row>
    <row r="1153" spans="2:16" x14ac:dyDescent="0.25">
      <c r="B1153" s="336" t="s">
        <v>416</v>
      </c>
      <c r="C1153" s="337">
        <v>40955</v>
      </c>
      <c r="D1153" s="338" t="s">
        <v>956</v>
      </c>
      <c r="E1153" s="338" t="s">
        <v>6847</v>
      </c>
      <c r="F1153" s="338" t="s">
        <v>6846</v>
      </c>
      <c r="G1153" s="338" t="s">
        <v>413</v>
      </c>
      <c r="H1153" s="338" t="s">
        <v>425</v>
      </c>
      <c r="I1153" s="338" t="s">
        <v>411</v>
      </c>
      <c r="J1153" s="339"/>
      <c r="K1153" s="339"/>
      <c r="L1153" s="339"/>
      <c r="M1153" s="339"/>
      <c r="N1153" s="338"/>
      <c r="O1153" s="338" t="s">
        <v>410</v>
      </c>
      <c r="P1153" s="338" t="s">
        <v>443</v>
      </c>
    </row>
    <row r="1154" spans="2:16" x14ac:dyDescent="0.25">
      <c r="B1154" s="336" t="s">
        <v>416</v>
      </c>
      <c r="C1154" s="337">
        <v>40955</v>
      </c>
      <c r="D1154" s="338" t="s">
        <v>6845</v>
      </c>
      <c r="E1154" s="338" t="s">
        <v>6844</v>
      </c>
      <c r="F1154" s="338"/>
      <c r="G1154" s="338">
        <v>655.58</v>
      </c>
      <c r="H1154" s="338" t="s">
        <v>425</v>
      </c>
      <c r="I1154" s="338" t="s">
        <v>411</v>
      </c>
      <c r="J1154" s="339">
        <v>1.0230699999999999</v>
      </c>
      <c r="K1154" s="339">
        <v>4.9132499999999997</v>
      </c>
      <c r="L1154" s="339" t="s">
        <v>409</v>
      </c>
      <c r="M1154" s="339" t="s">
        <v>409</v>
      </c>
      <c r="N1154" s="338" t="s">
        <v>410</v>
      </c>
      <c r="O1154" s="338" t="s">
        <v>409</v>
      </c>
      <c r="P1154" s="338" t="s">
        <v>417</v>
      </c>
    </row>
    <row r="1155" spans="2:16" x14ac:dyDescent="0.25">
      <c r="B1155" s="336" t="s">
        <v>416</v>
      </c>
      <c r="C1155" s="337">
        <v>40955</v>
      </c>
      <c r="D1155" s="338" t="s">
        <v>6843</v>
      </c>
      <c r="E1155" s="338" t="s">
        <v>1872</v>
      </c>
      <c r="F1155" s="338" t="s">
        <v>6842</v>
      </c>
      <c r="G1155" s="338" t="s">
        <v>413</v>
      </c>
      <c r="H1155" s="338" t="s">
        <v>425</v>
      </c>
      <c r="I1155" s="338" t="s">
        <v>1243</v>
      </c>
      <c r="J1155" s="339"/>
      <c r="K1155" s="339"/>
      <c r="L1155" s="339"/>
      <c r="M1155" s="339"/>
      <c r="N1155" s="338" t="s">
        <v>417</v>
      </c>
      <c r="O1155" s="338" t="s">
        <v>417</v>
      </c>
      <c r="P1155" s="338" t="s">
        <v>417</v>
      </c>
    </row>
    <row r="1156" spans="2:16" x14ac:dyDescent="0.25">
      <c r="B1156" s="336" t="s">
        <v>416</v>
      </c>
      <c r="C1156" s="337">
        <v>40954</v>
      </c>
      <c r="D1156" s="338" t="s">
        <v>6841</v>
      </c>
      <c r="E1156" s="338" t="s">
        <v>4992</v>
      </c>
      <c r="F1156" s="338" t="s">
        <v>6840</v>
      </c>
      <c r="G1156" s="338" t="s">
        <v>413</v>
      </c>
      <c r="H1156" s="338" t="s">
        <v>412</v>
      </c>
      <c r="I1156" s="338" t="s">
        <v>411</v>
      </c>
      <c r="J1156" s="339"/>
      <c r="K1156" s="339"/>
      <c r="L1156" s="339"/>
      <c r="M1156" s="339"/>
      <c r="N1156" s="338"/>
      <c r="O1156" s="338" t="s">
        <v>417</v>
      </c>
      <c r="P1156" s="338" t="s">
        <v>408</v>
      </c>
    </row>
    <row r="1157" spans="2:16" x14ac:dyDescent="0.25">
      <c r="B1157" s="336" t="s">
        <v>459</v>
      </c>
      <c r="C1157" s="337">
        <v>40954</v>
      </c>
      <c r="D1157" s="338" t="s">
        <v>6839</v>
      </c>
      <c r="E1157" s="338" t="s">
        <v>6838</v>
      </c>
      <c r="F1157" s="338"/>
      <c r="G1157" s="338">
        <v>6.7</v>
      </c>
      <c r="H1157" s="338" t="s">
        <v>425</v>
      </c>
      <c r="I1157" s="338" t="s">
        <v>411</v>
      </c>
      <c r="J1157" s="339"/>
      <c r="K1157" s="339"/>
      <c r="L1157" s="339" t="s">
        <v>409</v>
      </c>
      <c r="M1157" s="339" t="s">
        <v>409</v>
      </c>
      <c r="N1157" s="338" t="s">
        <v>487</v>
      </c>
      <c r="O1157" s="338" t="s">
        <v>409</v>
      </c>
      <c r="P1157" s="338"/>
    </row>
    <row r="1158" spans="2:16" x14ac:dyDescent="0.25">
      <c r="B1158" s="336" t="s">
        <v>416</v>
      </c>
      <c r="C1158" s="337">
        <v>40954</v>
      </c>
      <c r="D1158" s="338" t="s">
        <v>6837</v>
      </c>
      <c r="E1158" s="338" t="s">
        <v>6836</v>
      </c>
      <c r="F1158" s="338" t="s">
        <v>889</v>
      </c>
      <c r="G1158" s="338">
        <v>2695</v>
      </c>
      <c r="H1158" s="338" t="s">
        <v>425</v>
      </c>
      <c r="I1158" s="338" t="s">
        <v>411</v>
      </c>
      <c r="J1158" s="339"/>
      <c r="K1158" s="339"/>
      <c r="L1158" s="339">
        <v>2.9470299999999998</v>
      </c>
      <c r="M1158" s="339">
        <v>13.790100000000001</v>
      </c>
      <c r="N1158" s="338"/>
      <c r="O1158" s="338" t="s">
        <v>410</v>
      </c>
      <c r="P1158" s="338" t="s">
        <v>410</v>
      </c>
    </row>
    <row r="1159" spans="2:16" x14ac:dyDescent="0.25">
      <c r="B1159" s="336" t="s">
        <v>459</v>
      </c>
      <c r="C1159" s="337">
        <v>40952</v>
      </c>
      <c r="D1159" s="338" t="s">
        <v>6835</v>
      </c>
      <c r="E1159" s="338" t="s">
        <v>6834</v>
      </c>
      <c r="F1159" s="338"/>
      <c r="G1159" s="338" t="s">
        <v>413</v>
      </c>
      <c r="H1159" s="338" t="s">
        <v>425</v>
      </c>
      <c r="I1159" s="338" t="s">
        <v>411</v>
      </c>
      <c r="J1159" s="339"/>
      <c r="K1159" s="339"/>
      <c r="L1159" s="339" t="s">
        <v>409</v>
      </c>
      <c r="M1159" s="339" t="s">
        <v>409</v>
      </c>
      <c r="N1159" s="338" t="s">
        <v>410</v>
      </c>
      <c r="O1159" s="338" t="s">
        <v>409</v>
      </c>
      <c r="P1159" s="338" t="s">
        <v>410</v>
      </c>
    </row>
    <row r="1160" spans="2:16" x14ac:dyDescent="0.25">
      <c r="B1160" s="336" t="s">
        <v>416</v>
      </c>
      <c r="C1160" s="337">
        <v>40952</v>
      </c>
      <c r="D1160" s="338" t="s">
        <v>2930</v>
      </c>
      <c r="E1160" s="338" t="s">
        <v>2929</v>
      </c>
      <c r="F1160" s="338"/>
      <c r="G1160" s="338" t="s">
        <v>413</v>
      </c>
      <c r="H1160" s="338" t="s">
        <v>412</v>
      </c>
      <c r="I1160" s="338" t="s">
        <v>411</v>
      </c>
      <c r="J1160" s="339"/>
      <c r="K1160" s="339"/>
      <c r="L1160" s="339" t="s">
        <v>409</v>
      </c>
      <c r="M1160" s="339" t="s">
        <v>409</v>
      </c>
      <c r="N1160" s="338" t="s">
        <v>417</v>
      </c>
      <c r="O1160" s="338" t="s">
        <v>409</v>
      </c>
      <c r="P1160" s="338" t="s">
        <v>487</v>
      </c>
    </row>
    <row r="1161" spans="2:16" x14ac:dyDescent="0.25">
      <c r="B1161" s="336" t="s">
        <v>416</v>
      </c>
      <c r="C1161" s="337">
        <v>40949</v>
      </c>
      <c r="D1161" s="338" t="s">
        <v>6833</v>
      </c>
      <c r="E1161" s="338" t="s">
        <v>436</v>
      </c>
      <c r="F1161" s="338"/>
      <c r="G1161" s="338" t="s">
        <v>413</v>
      </c>
      <c r="H1161" s="338" t="s">
        <v>412</v>
      </c>
      <c r="I1161" s="338" t="s">
        <v>411</v>
      </c>
      <c r="J1161" s="339"/>
      <c r="K1161" s="339"/>
      <c r="L1161" s="339" t="s">
        <v>409</v>
      </c>
      <c r="M1161" s="339" t="s">
        <v>409</v>
      </c>
      <c r="N1161" s="338" t="s">
        <v>432</v>
      </c>
      <c r="O1161" s="338" t="s">
        <v>409</v>
      </c>
      <c r="P1161" s="338" t="s">
        <v>417</v>
      </c>
    </row>
    <row r="1162" spans="2:16" x14ac:dyDescent="0.25">
      <c r="B1162" s="336" t="s">
        <v>416</v>
      </c>
      <c r="C1162" s="337">
        <v>40949</v>
      </c>
      <c r="D1162" s="338" t="s">
        <v>6832</v>
      </c>
      <c r="E1162" s="338" t="s">
        <v>6831</v>
      </c>
      <c r="F1162" s="338"/>
      <c r="G1162" s="338">
        <v>5.75</v>
      </c>
      <c r="H1162" s="338" t="s">
        <v>425</v>
      </c>
      <c r="I1162" s="338" t="s">
        <v>411</v>
      </c>
      <c r="J1162" s="339"/>
      <c r="K1162" s="339"/>
      <c r="L1162" s="339" t="s">
        <v>409</v>
      </c>
      <c r="M1162" s="339" t="s">
        <v>409</v>
      </c>
      <c r="N1162" s="338" t="s">
        <v>417</v>
      </c>
      <c r="O1162" s="338" t="s">
        <v>409</v>
      </c>
      <c r="P1162" s="338" t="s">
        <v>443</v>
      </c>
    </row>
    <row r="1163" spans="2:16" x14ac:dyDescent="0.25">
      <c r="B1163" s="336" t="s">
        <v>416</v>
      </c>
      <c r="C1163" s="337">
        <v>40948</v>
      </c>
      <c r="D1163" s="338" t="s">
        <v>6830</v>
      </c>
      <c r="E1163" s="338" t="s">
        <v>6829</v>
      </c>
      <c r="F1163" s="338" t="s">
        <v>1140</v>
      </c>
      <c r="G1163" s="338">
        <v>15</v>
      </c>
      <c r="H1163" s="338" t="s">
        <v>425</v>
      </c>
      <c r="I1163" s="338" t="s">
        <v>411</v>
      </c>
      <c r="J1163" s="339"/>
      <c r="K1163" s="339"/>
      <c r="L1163" s="339">
        <v>1.38144</v>
      </c>
      <c r="M1163" s="339">
        <v>8.0563300000000009</v>
      </c>
      <c r="N1163" s="338" t="s">
        <v>417</v>
      </c>
      <c r="O1163" s="338" t="s">
        <v>417</v>
      </c>
      <c r="P1163" s="338" t="s">
        <v>417</v>
      </c>
    </row>
    <row r="1164" spans="2:16" x14ac:dyDescent="0.25">
      <c r="B1164" s="336" t="s">
        <v>416</v>
      </c>
      <c r="C1164" s="337">
        <v>40948</v>
      </c>
      <c r="D1164" s="338" t="s">
        <v>6828</v>
      </c>
      <c r="E1164" s="338" t="s">
        <v>2115</v>
      </c>
      <c r="F1164" s="338"/>
      <c r="G1164" s="338" t="s">
        <v>413</v>
      </c>
      <c r="H1164" s="338" t="s">
        <v>412</v>
      </c>
      <c r="I1164" s="338" t="s">
        <v>411</v>
      </c>
      <c r="J1164" s="339"/>
      <c r="K1164" s="339"/>
      <c r="L1164" s="339" t="s">
        <v>409</v>
      </c>
      <c r="M1164" s="339" t="s">
        <v>409</v>
      </c>
      <c r="N1164" s="338" t="s">
        <v>487</v>
      </c>
      <c r="O1164" s="338" t="s">
        <v>409</v>
      </c>
      <c r="P1164" s="338" t="s">
        <v>443</v>
      </c>
    </row>
    <row r="1165" spans="2:16" x14ac:dyDescent="0.25">
      <c r="B1165" s="336" t="s">
        <v>416</v>
      </c>
      <c r="C1165" s="337">
        <v>40948</v>
      </c>
      <c r="D1165" s="338" t="s">
        <v>6827</v>
      </c>
      <c r="E1165" s="338" t="s">
        <v>6750</v>
      </c>
      <c r="F1165" s="338"/>
      <c r="G1165" s="338" t="s">
        <v>413</v>
      </c>
      <c r="H1165" s="338" t="s">
        <v>412</v>
      </c>
      <c r="I1165" s="338" t="s">
        <v>411</v>
      </c>
      <c r="J1165" s="339"/>
      <c r="K1165" s="339"/>
      <c r="L1165" s="339" t="s">
        <v>409</v>
      </c>
      <c r="M1165" s="339" t="s">
        <v>409</v>
      </c>
      <c r="N1165" s="338" t="s">
        <v>410</v>
      </c>
      <c r="O1165" s="338" t="s">
        <v>409</v>
      </c>
      <c r="P1165" s="338" t="s">
        <v>408</v>
      </c>
    </row>
    <row r="1166" spans="2:16" x14ac:dyDescent="0.25">
      <c r="B1166" s="336" t="s">
        <v>416</v>
      </c>
      <c r="C1166" s="337">
        <v>40947</v>
      </c>
      <c r="D1166" s="338" t="s">
        <v>6826</v>
      </c>
      <c r="E1166" s="338" t="s">
        <v>1572</v>
      </c>
      <c r="F1166" s="338"/>
      <c r="G1166" s="338">
        <v>48</v>
      </c>
      <c r="H1166" s="338" t="s">
        <v>425</v>
      </c>
      <c r="I1166" s="338" t="s">
        <v>411</v>
      </c>
      <c r="J1166" s="339"/>
      <c r="K1166" s="339"/>
      <c r="L1166" s="339" t="s">
        <v>409</v>
      </c>
      <c r="M1166" s="339" t="s">
        <v>409</v>
      </c>
      <c r="N1166" s="338"/>
      <c r="O1166" s="338" t="s">
        <v>409</v>
      </c>
      <c r="P1166" s="338" t="s">
        <v>417</v>
      </c>
    </row>
    <row r="1167" spans="2:16" x14ac:dyDescent="0.25">
      <c r="B1167" s="336" t="s">
        <v>416</v>
      </c>
      <c r="C1167" s="337">
        <v>40945</v>
      </c>
      <c r="D1167" s="338" t="s">
        <v>3538</v>
      </c>
      <c r="E1167" s="338" t="s">
        <v>6825</v>
      </c>
      <c r="F1167" s="338"/>
      <c r="G1167" s="338">
        <v>281.95</v>
      </c>
      <c r="H1167" s="338" t="s">
        <v>425</v>
      </c>
      <c r="I1167" s="338" t="s">
        <v>411</v>
      </c>
      <c r="J1167" s="339">
        <v>0.124821</v>
      </c>
      <c r="K1167" s="339">
        <v>2.87012</v>
      </c>
      <c r="L1167" s="339" t="s">
        <v>409</v>
      </c>
      <c r="M1167" s="339" t="s">
        <v>409</v>
      </c>
      <c r="N1167" s="338" t="s">
        <v>417</v>
      </c>
      <c r="O1167" s="338" t="s">
        <v>409</v>
      </c>
      <c r="P1167" s="338" t="s">
        <v>443</v>
      </c>
    </row>
    <row r="1168" spans="2:16" x14ac:dyDescent="0.25">
      <c r="B1168" s="336" t="s">
        <v>1441</v>
      </c>
      <c r="C1168" s="337">
        <v>40945</v>
      </c>
      <c r="D1168" s="338" t="s">
        <v>4058</v>
      </c>
      <c r="E1168" s="338" t="s">
        <v>6824</v>
      </c>
      <c r="F1168" s="338"/>
      <c r="G1168" s="338" t="s">
        <v>413</v>
      </c>
      <c r="H1168" s="338" t="s">
        <v>412</v>
      </c>
      <c r="I1168" s="338" t="s">
        <v>1243</v>
      </c>
      <c r="J1168" s="339">
        <v>0.94301599999999997</v>
      </c>
      <c r="K1168" s="339">
        <v>4.87582</v>
      </c>
      <c r="L1168" s="339" t="s">
        <v>409</v>
      </c>
      <c r="M1168" s="339" t="s">
        <v>409</v>
      </c>
      <c r="N1168" s="338" t="s">
        <v>443</v>
      </c>
      <c r="O1168" s="338" t="s">
        <v>409</v>
      </c>
      <c r="P1168" s="338" t="s">
        <v>432</v>
      </c>
    </row>
    <row r="1169" spans="2:16" x14ac:dyDescent="0.25">
      <c r="B1169" s="336" t="s">
        <v>416</v>
      </c>
      <c r="C1169" s="337">
        <v>40945</v>
      </c>
      <c r="D1169" s="338" t="s">
        <v>6823</v>
      </c>
      <c r="E1169" s="338" t="s">
        <v>4058</v>
      </c>
      <c r="F1169" s="338" t="s">
        <v>5292</v>
      </c>
      <c r="G1169" s="338">
        <v>100</v>
      </c>
      <c r="H1169" s="338" t="s">
        <v>425</v>
      </c>
      <c r="I1169" s="338" t="s">
        <v>411</v>
      </c>
      <c r="J1169" s="339"/>
      <c r="K1169" s="339"/>
      <c r="L1169" s="339">
        <v>1.3928499999999999</v>
      </c>
      <c r="M1169" s="339">
        <v>9.7578899999999997</v>
      </c>
      <c r="N1169" s="338"/>
      <c r="O1169" s="338" t="s">
        <v>605</v>
      </c>
      <c r="P1169" s="338" t="s">
        <v>443</v>
      </c>
    </row>
    <row r="1170" spans="2:16" x14ac:dyDescent="0.25">
      <c r="B1170" s="336" t="s">
        <v>416</v>
      </c>
      <c r="C1170" s="337">
        <v>40945</v>
      </c>
      <c r="D1170" s="338" t="s">
        <v>6822</v>
      </c>
      <c r="E1170" s="338" t="s">
        <v>3407</v>
      </c>
      <c r="F1170" s="338"/>
      <c r="G1170" s="338" t="s">
        <v>413</v>
      </c>
      <c r="H1170" s="338" t="s">
        <v>412</v>
      </c>
      <c r="I1170" s="338" t="s">
        <v>411</v>
      </c>
      <c r="J1170" s="339"/>
      <c r="K1170" s="339"/>
      <c r="L1170" s="339" t="s">
        <v>409</v>
      </c>
      <c r="M1170" s="339" t="s">
        <v>409</v>
      </c>
      <c r="N1170" s="338" t="s">
        <v>605</v>
      </c>
      <c r="O1170" s="338" t="s">
        <v>409</v>
      </c>
      <c r="P1170" s="338" t="s">
        <v>543</v>
      </c>
    </row>
    <row r="1171" spans="2:16" x14ac:dyDescent="0.25">
      <c r="B1171" s="336" t="s">
        <v>416</v>
      </c>
      <c r="C1171" s="337">
        <v>40942</v>
      </c>
      <c r="D1171" s="338" t="s">
        <v>6821</v>
      </c>
      <c r="E1171" s="338" t="s">
        <v>6820</v>
      </c>
      <c r="F1171" s="338" t="s">
        <v>6819</v>
      </c>
      <c r="G1171" s="338" t="s">
        <v>413</v>
      </c>
      <c r="H1171" s="338" t="s">
        <v>425</v>
      </c>
      <c r="I1171" s="338" t="s">
        <v>411</v>
      </c>
      <c r="J1171" s="339"/>
      <c r="K1171" s="339"/>
      <c r="L1171" s="339"/>
      <c r="M1171" s="339"/>
      <c r="N1171" s="338"/>
      <c r="O1171" s="338" t="s">
        <v>410</v>
      </c>
      <c r="P1171" s="338" t="s">
        <v>410</v>
      </c>
    </row>
    <row r="1172" spans="2:16" x14ac:dyDescent="0.25">
      <c r="B1172" s="336" t="s">
        <v>416</v>
      </c>
      <c r="C1172" s="337">
        <v>40942</v>
      </c>
      <c r="D1172" s="338" t="s">
        <v>6818</v>
      </c>
      <c r="E1172" s="338" t="s">
        <v>3574</v>
      </c>
      <c r="F1172" s="338"/>
      <c r="G1172" s="338" t="s">
        <v>413</v>
      </c>
      <c r="H1172" s="338" t="s">
        <v>425</v>
      </c>
      <c r="I1172" s="338" t="s">
        <v>411</v>
      </c>
      <c r="J1172" s="339"/>
      <c r="K1172" s="339"/>
      <c r="L1172" s="339" t="s">
        <v>409</v>
      </c>
      <c r="M1172" s="339" t="s">
        <v>409</v>
      </c>
      <c r="N1172" s="338" t="s">
        <v>417</v>
      </c>
      <c r="O1172" s="338" t="s">
        <v>409</v>
      </c>
      <c r="P1172" s="338" t="s">
        <v>417</v>
      </c>
    </row>
    <row r="1173" spans="2:16" x14ac:dyDescent="0.25">
      <c r="B1173" s="336" t="s">
        <v>416</v>
      </c>
      <c r="C1173" s="337">
        <v>40941</v>
      </c>
      <c r="D1173" s="338" t="s">
        <v>6817</v>
      </c>
      <c r="E1173" s="338" t="s">
        <v>1619</v>
      </c>
      <c r="F1173" s="338" t="s">
        <v>6816</v>
      </c>
      <c r="G1173" s="338">
        <v>225</v>
      </c>
      <c r="H1173" s="338" t="s">
        <v>425</v>
      </c>
      <c r="I1173" s="338" t="s">
        <v>411</v>
      </c>
      <c r="J1173" s="339"/>
      <c r="K1173" s="339"/>
      <c r="L1173" s="339">
        <v>1.11463</v>
      </c>
      <c r="M1173" s="339">
        <v>29.538499999999999</v>
      </c>
      <c r="N1173" s="338"/>
      <c r="O1173" s="338" t="s">
        <v>410</v>
      </c>
      <c r="P1173" s="338" t="s">
        <v>417</v>
      </c>
    </row>
    <row r="1174" spans="2:16" x14ac:dyDescent="0.25">
      <c r="B1174" s="336" t="s">
        <v>416</v>
      </c>
      <c r="C1174" s="337">
        <v>40941</v>
      </c>
      <c r="D1174" s="338" t="s">
        <v>6815</v>
      </c>
      <c r="E1174" s="338" t="s">
        <v>3179</v>
      </c>
      <c r="F1174" s="338"/>
      <c r="G1174" s="338" t="s">
        <v>413</v>
      </c>
      <c r="H1174" s="338" t="s">
        <v>425</v>
      </c>
      <c r="I1174" s="338" t="s">
        <v>411</v>
      </c>
      <c r="J1174" s="339"/>
      <c r="K1174" s="339"/>
      <c r="L1174" s="339" t="s">
        <v>409</v>
      </c>
      <c r="M1174" s="339" t="s">
        <v>409</v>
      </c>
      <c r="N1174" s="338"/>
      <c r="O1174" s="338" t="s">
        <v>409</v>
      </c>
      <c r="P1174" s="338" t="s">
        <v>417</v>
      </c>
    </row>
    <row r="1175" spans="2:16" x14ac:dyDescent="0.25">
      <c r="B1175" s="336" t="s">
        <v>459</v>
      </c>
      <c r="C1175" s="337">
        <v>40940</v>
      </c>
      <c r="D1175" s="338" t="s">
        <v>6814</v>
      </c>
      <c r="E1175" s="338" t="s">
        <v>6813</v>
      </c>
      <c r="F1175" s="338"/>
      <c r="G1175" s="338">
        <v>5</v>
      </c>
      <c r="H1175" s="338" t="s">
        <v>425</v>
      </c>
      <c r="I1175" s="338" t="s">
        <v>411</v>
      </c>
      <c r="J1175" s="339"/>
      <c r="K1175" s="339"/>
      <c r="L1175" s="339" t="s">
        <v>409</v>
      </c>
      <c r="M1175" s="339" t="s">
        <v>409</v>
      </c>
      <c r="N1175" s="338" t="s">
        <v>432</v>
      </c>
      <c r="O1175" s="338" t="s">
        <v>409</v>
      </c>
      <c r="P1175" s="338"/>
    </row>
    <row r="1176" spans="2:16" x14ac:dyDescent="0.25">
      <c r="B1176" s="336" t="s">
        <v>416</v>
      </c>
      <c r="C1176" s="337">
        <v>40940</v>
      </c>
      <c r="D1176" s="338" t="s">
        <v>6812</v>
      </c>
      <c r="E1176" s="338" t="s">
        <v>2463</v>
      </c>
      <c r="F1176" s="338"/>
      <c r="G1176" s="338" t="s">
        <v>413</v>
      </c>
      <c r="H1176" s="338" t="s">
        <v>425</v>
      </c>
      <c r="I1176" s="338" t="s">
        <v>411</v>
      </c>
      <c r="J1176" s="339"/>
      <c r="K1176" s="339"/>
      <c r="L1176" s="339" t="s">
        <v>409</v>
      </c>
      <c r="M1176" s="339" t="s">
        <v>409</v>
      </c>
      <c r="N1176" s="338" t="s">
        <v>417</v>
      </c>
      <c r="O1176" s="338" t="s">
        <v>409</v>
      </c>
      <c r="P1176" s="338" t="s">
        <v>443</v>
      </c>
    </row>
    <row r="1177" spans="2:16" x14ac:dyDescent="0.25">
      <c r="B1177" s="336" t="s">
        <v>416</v>
      </c>
      <c r="C1177" s="337">
        <v>40940</v>
      </c>
      <c r="D1177" s="338" t="s">
        <v>6811</v>
      </c>
      <c r="E1177" s="338" t="s">
        <v>514</v>
      </c>
      <c r="F1177" s="338"/>
      <c r="G1177" s="338">
        <v>760</v>
      </c>
      <c r="H1177" s="338" t="s">
        <v>425</v>
      </c>
      <c r="I1177" s="338" t="s">
        <v>411</v>
      </c>
      <c r="J1177" s="339"/>
      <c r="K1177" s="339"/>
      <c r="L1177" s="339" t="s">
        <v>409</v>
      </c>
      <c r="M1177" s="339" t="s">
        <v>409</v>
      </c>
      <c r="N1177" s="338" t="s">
        <v>417</v>
      </c>
      <c r="O1177" s="338" t="s">
        <v>409</v>
      </c>
      <c r="P1177" s="338"/>
    </row>
    <row r="1178" spans="2:16" x14ac:dyDescent="0.25">
      <c r="B1178" s="336" t="s">
        <v>416</v>
      </c>
      <c r="C1178" s="337">
        <v>40940</v>
      </c>
      <c r="D1178" s="338" t="s">
        <v>6810</v>
      </c>
      <c r="E1178" s="338" t="s">
        <v>6809</v>
      </c>
      <c r="F1178" s="338"/>
      <c r="G1178" s="338" t="s">
        <v>413</v>
      </c>
      <c r="H1178" s="338" t="s">
        <v>412</v>
      </c>
      <c r="I1178" s="338" t="s">
        <v>411</v>
      </c>
      <c r="J1178" s="339"/>
      <c r="K1178" s="339"/>
      <c r="L1178" s="339" t="s">
        <v>409</v>
      </c>
      <c r="M1178" s="339" t="s">
        <v>409</v>
      </c>
      <c r="N1178" s="338" t="s">
        <v>410</v>
      </c>
      <c r="O1178" s="338" t="s">
        <v>409</v>
      </c>
      <c r="P1178" s="338" t="s">
        <v>410</v>
      </c>
    </row>
    <row r="1179" spans="2:16" x14ac:dyDescent="0.25">
      <c r="B1179" s="336" t="s">
        <v>416</v>
      </c>
      <c r="C1179" s="337">
        <v>40940</v>
      </c>
      <c r="D1179" s="338" t="s">
        <v>945</v>
      </c>
      <c r="E1179" s="338" t="s">
        <v>4342</v>
      </c>
      <c r="F1179" s="338" t="s">
        <v>3688</v>
      </c>
      <c r="G1179" s="338">
        <v>61.5</v>
      </c>
      <c r="H1179" s="338" t="s">
        <v>425</v>
      </c>
      <c r="I1179" s="338" t="s">
        <v>411</v>
      </c>
      <c r="J1179" s="339"/>
      <c r="K1179" s="339"/>
      <c r="L1179" s="339">
        <v>0.18818099999999999</v>
      </c>
      <c r="M1179" s="339">
        <v>4.2094199999999997</v>
      </c>
      <c r="N1179" s="338"/>
      <c r="O1179" s="338" t="s">
        <v>417</v>
      </c>
      <c r="P1179" s="338" t="s">
        <v>443</v>
      </c>
    </row>
    <row r="1180" spans="2:16" x14ac:dyDescent="0.25">
      <c r="B1180" s="336" t="s">
        <v>416</v>
      </c>
      <c r="C1180" s="337">
        <v>40939</v>
      </c>
      <c r="D1180" s="338" t="s">
        <v>6808</v>
      </c>
      <c r="E1180" s="338" t="s">
        <v>6807</v>
      </c>
      <c r="F1180" s="338"/>
      <c r="G1180" s="338" t="s">
        <v>413</v>
      </c>
      <c r="H1180" s="338" t="s">
        <v>412</v>
      </c>
      <c r="I1180" s="338" t="s">
        <v>411</v>
      </c>
      <c r="J1180" s="339"/>
      <c r="K1180" s="339"/>
      <c r="L1180" s="339" t="s">
        <v>409</v>
      </c>
      <c r="M1180" s="339" t="s">
        <v>409</v>
      </c>
      <c r="N1180" s="338" t="s">
        <v>417</v>
      </c>
      <c r="O1180" s="338" t="s">
        <v>409</v>
      </c>
      <c r="P1180" s="338" t="s">
        <v>417</v>
      </c>
    </row>
    <row r="1181" spans="2:16" x14ac:dyDescent="0.25">
      <c r="B1181" s="336" t="s">
        <v>459</v>
      </c>
      <c r="C1181" s="337">
        <v>40939</v>
      </c>
      <c r="D1181" s="338" t="s">
        <v>6806</v>
      </c>
      <c r="E1181" s="338" t="s">
        <v>716</v>
      </c>
      <c r="F1181" s="338"/>
      <c r="G1181" s="338" t="s">
        <v>413</v>
      </c>
      <c r="H1181" s="338" t="s">
        <v>425</v>
      </c>
      <c r="I1181" s="338" t="s">
        <v>411</v>
      </c>
      <c r="J1181" s="339"/>
      <c r="K1181" s="339"/>
      <c r="L1181" s="339" t="s">
        <v>409</v>
      </c>
      <c r="M1181" s="339" t="s">
        <v>409</v>
      </c>
      <c r="N1181" s="338" t="s">
        <v>417</v>
      </c>
      <c r="O1181" s="338" t="s">
        <v>409</v>
      </c>
      <c r="P1181" s="338" t="s">
        <v>443</v>
      </c>
    </row>
    <row r="1182" spans="2:16" x14ac:dyDescent="0.25">
      <c r="B1182" s="336" t="s">
        <v>416</v>
      </c>
      <c r="C1182" s="337">
        <v>40939</v>
      </c>
      <c r="D1182" s="338" t="s">
        <v>6805</v>
      </c>
      <c r="E1182" s="338" t="s">
        <v>6804</v>
      </c>
      <c r="F1182" s="338" t="s">
        <v>6803</v>
      </c>
      <c r="G1182" s="338" t="s">
        <v>413</v>
      </c>
      <c r="H1182" s="338" t="s">
        <v>425</v>
      </c>
      <c r="I1182" s="338" t="s">
        <v>411</v>
      </c>
      <c r="J1182" s="339"/>
      <c r="K1182" s="339"/>
      <c r="L1182" s="339"/>
      <c r="M1182" s="339"/>
      <c r="N1182" s="338"/>
      <c r="O1182" s="338" t="s">
        <v>417</v>
      </c>
      <c r="P1182" s="338" t="s">
        <v>410</v>
      </c>
    </row>
    <row r="1183" spans="2:16" x14ac:dyDescent="0.25">
      <c r="B1183" s="336" t="s">
        <v>416</v>
      </c>
      <c r="C1183" s="337">
        <v>40935</v>
      </c>
      <c r="D1183" s="338" t="s">
        <v>6802</v>
      </c>
      <c r="E1183" s="338" t="s">
        <v>1529</v>
      </c>
      <c r="F1183" s="338" t="s">
        <v>6801</v>
      </c>
      <c r="G1183" s="338" t="s">
        <v>413</v>
      </c>
      <c r="H1183" s="338" t="s">
        <v>425</v>
      </c>
      <c r="I1183" s="338" t="s">
        <v>411</v>
      </c>
      <c r="J1183" s="339"/>
      <c r="K1183" s="339"/>
      <c r="L1183" s="339"/>
      <c r="M1183" s="339"/>
      <c r="N1183" s="338"/>
      <c r="O1183" s="338" t="s">
        <v>417</v>
      </c>
      <c r="P1183" s="338" t="s">
        <v>410</v>
      </c>
    </row>
    <row r="1184" spans="2:16" x14ac:dyDescent="0.25">
      <c r="B1184" s="336" t="s">
        <v>416</v>
      </c>
      <c r="C1184" s="337">
        <v>40934</v>
      </c>
      <c r="D1184" s="338" t="s">
        <v>6800</v>
      </c>
      <c r="E1184" s="338" t="s">
        <v>6799</v>
      </c>
      <c r="F1184" s="338"/>
      <c r="G1184" s="338" t="s">
        <v>413</v>
      </c>
      <c r="H1184" s="338" t="s">
        <v>412</v>
      </c>
      <c r="I1184" s="338" t="s">
        <v>411</v>
      </c>
      <c r="J1184" s="339"/>
      <c r="K1184" s="339"/>
      <c r="L1184" s="339" t="s">
        <v>409</v>
      </c>
      <c r="M1184" s="339" t="s">
        <v>409</v>
      </c>
      <c r="N1184" s="338" t="s">
        <v>417</v>
      </c>
      <c r="O1184" s="338" t="s">
        <v>409</v>
      </c>
      <c r="P1184" s="338" t="s">
        <v>605</v>
      </c>
    </row>
    <row r="1185" spans="2:16" x14ac:dyDescent="0.25">
      <c r="B1185" s="336" t="s">
        <v>416</v>
      </c>
      <c r="C1185" s="337">
        <v>40934</v>
      </c>
      <c r="D1185" s="338" t="s">
        <v>6798</v>
      </c>
      <c r="E1185" s="338" t="s">
        <v>6797</v>
      </c>
      <c r="F1185" s="338"/>
      <c r="G1185" s="338" t="s">
        <v>413</v>
      </c>
      <c r="H1185" s="338" t="s">
        <v>425</v>
      </c>
      <c r="I1185" s="338" t="s">
        <v>411</v>
      </c>
      <c r="J1185" s="339"/>
      <c r="K1185" s="339"/>
      <c r="L1185" s="339" t="s">
        <v>409</v>
      </c>
      <c r="M1185" s="339" t="s">
        <v>409</v>
      </c>
      <c r="N1185" s="338" t="s">
        <v>417</v>
      </c>
      <c r="O1185" s="338" t="s">
        <v>409</v>
      </c>
      <c r="P1185" s="338" t="s">
        <v>443</v>
      </c>
    </row>
    <row r="1186" spans="2:16" x14ac:dyDescent="0.25">
      <c r="B1186" s="336" t="s">
        <v>416</v>
      </c>
      <c r="C1186" s="337">
        <v>40934</v>
      </c>
      <c r="D1186" s="338" t="s">
        <v>6796</v>
      </c>
      <c r="E1186" s="338" t="s">
        <v>463</v>
      </c>
      <c r="F1186" s="338"/>
      <c r="G1186" s="338" t="s">
        <v>413</v>
      </c>
      <c r="H1186" s="338" t="s">
        <v>425</v>
      </c>
      <c r="I1186" s="338" t="s">
        <v>411</v>
      </c>
      <c r="J1186" s="339"/>
      <c r="K1186" s="339"/>
      <c r="L1186" s="339" t="s">
        <v>409</v>
      </c>
      <c r="M1186" s="339" t="s">
        <v>409</v>
      </c>
      <c r="N1186" s="338"/>
      <c r="O1186" s="338" t="s">
        <v>409</v>
      </c>
      <c r="P1186" s="338" t="s">
        <v>417</v>
      </c>
    </row>
    <row r="1187" spans="2:16" x14ac:dyDescent="0.25">
      <c r="B1187" s="336" t="s">
        <v>416</v>
      </c>
      <c r="C1187" s="337">
        <v>40933</v>
      </c>
      <c r="D1187" s="338" t="s">
        <v>6795</v>
      </c>
      <c r="E1187" s="338" t="s">
        <v>6794</v>
      </c>
      <c r="F1187" s="338"/>
      <c r="G1187" s="338" t="s">
        <v>413</v>
      </c>
      <c r="H1187" s="338" t="s">
        <v>412</v>
      </c>
      <c r="I1187" s="338" t="s">
        <v>411</v>
      </c>
      <c r="J1187" s="339"/>
      <c r="K1187" s="339"/>
      <c r="L1187" s="339" t="s">
        <v>409</v>
      </c>
      <c r="M1187" s="339" t="s">
        <v>409</v>
      </c>
      <c r="N1187" s="338" t="s">
        <v>417</v>
      </c>
      <c r="O1187" s="338" t="s">
        <v>409</v>
      </c>
      <c r="P1187" s="338" t="s">
        <v>443</v>
      </c>
    </row>
    <row r="1188" spans="2:16" x14ac:dyDescent="0.25">
      <c r="B1188" s="336" t="s">
        <v>416</v>
      </c>
      <c r="C1188" s="337">
        <v>40933</v>
      </c>
      <c r="D1188" s="338" t="s">
        <v>6793</v>
      </c>
      <c r="E1188" s="338" t="s">
        <v>6792</v>
      </c>
      <c r="F1188" s="338" t="s">
        <v>6791</v>
      </c>
      <c r="G1188" s="338">
        <v>36</v>
      </c>
      <c r="H1188" s="338" t="s">
        <v>425</v>
      </c>
      <c r="I1188" s="338" t="s">
        <v>1243</v>
      </c>
      <c r="J1188" s="339"/>
      <c r="K1188" s="339"/>
      <c r="L1188" s="339"/>
      <c r="M1188" s="339"/>
      <c r="N1188" s="338"/>
      <c r="O1188" s="338" t="s">
        <v>417</v>
      </c>
      <c r="P1188" s="338" t="s">
        <v>487</v>
      </c>
    </row>
    <row r="1189" spans="2:16" x14ac:dyDescent="0.25">
      <c r="B1189" s="336" t="s">
        <v>416</v>
      </c>
      <c r="C1189" s="337">
        <v>40932</v>
      </c>
      <c r="D1189" s="338" t="s">
        <v>2089</v>
      </c>
      <c r="E1189" s="338" t="s">
        <v>6790</v>
      </c>
      <c r="F1189" s="338" t="s">
        <v>6789</v>
      </c>
      <c r="G1189" s="338">
        <v>150</v>
      </c>
      <c r="H1189" s="338" t="s">
        <v>425</v>
      </c>
      <c r="I1189" s="338" t="s">
        <v>411</v>
      </c>
      <c r="J1189" s="339">
        <v>0.73741500000000004</v>
      </c>
      <c r="K1189" s="339">
        <v>5.0063700000000004</v>
      </c>
      <c r="L1189" s="339"/>
      <c r="M1189" s="339"/>
      <c r="N1189" s="338" t="s">
        <v>417</v>
      </c>
      <c r="O1189" s="338"/>
      <c r="P1189" s="338" t="s">
        <v>443</v>
      </c>
    </row>
    <row r="1190" spans="2:16" x14ac:dyDescent="0.25">
      <c r="B1190" s="336" t="s">
        <v>459</v>
      </c>
      <c r="C1190" s="337">
        <v>40931</v>
      </c>
      <c r="D1190" s="338" t="s">
        <v>4760</v>
      </c>
      <c r="E1190" s="338" t="s">
        <v>6788</v>
      </c>
      <c r="F1190" s="338"/>
      <c r="G1190" s="338" t="s">
        <v>413</v>
      </c>
      <c r="H1190" s="338" t="s">
        <v>425</v>
      </c>
      <c r="I1190" s="338" t="s">
        <v>411</v>
      </c>
      <c r="J1190" s="339"/>
      <c r="K1190" s="339"/>
      <c r="L1190" s="339" t="s">
        <v>409</v>
      </c>
      <c r="M1190" s="339" t="s">
        <v>409</v>
      </c>
      <c r="N1190" s="338" t="s">
        <v>417</v>
      </c>
      <c r="O1190" s="338" t="s">
        <v>409</v>
      </c>
      <c r="P1190" s="338" t="s">
        <v>443</v>
      </c>
    </row>
    <row r="1191" spans="2:16" x14ac:dyDescent="0.25">
      <c r="B1191" s="336" t="s">
        <v>416</v>
      </c>
      <c r="C1191" s="337">
        <v>40928</v>
      </c>
      <c r="D1191" s="338" t="s">
        <v>6787</v>
      </c>
      <c r="E1191" s="338" t="s">
        <v>831</v>
      </c>
      <c r="F1191" s="338"/>
      <c r="G1191" s="338" t="s">
        <v>413</v>
      </c>
      <c r="H1191" s="338" t="s">
        <v>412</v>
      </c>
      <c r="I1191" s="338" t="s">
        <v>411</v>
      </c>
      <c r="J1191" s="339"/>
      <c r="K1191" s="339"/>
      <c r="L1191" s="339" t="s">
        <v>409</v>
      </c>
      <c r="M1191" s="339" t="s">
        <v>409</v>
      </c>
      <c r="N1191" s="338" t="s">
        <v>432</v>
      </c>
      <c r="O1191" s="338" t="s">
        <v>409</v>
      </c>
      <c r="P1191" s="338" t="s">
        <v>417</v>
      </c>
    </row>
    <row r="1192" spans="2:16" x14ac:dyDescent="0.25">
      <c r="B1192" s="336" t="s">
        <v>416</v>
      </c>
      <c r="C1192" s="337">
        <v>40927</v>
      </c>
      <c r="D1192" s="338" t="s">
        <v>3676</v>
      </c>
      <c r="E1192" s="338" t="s">
        <v>5884</v>
      </c>
      <c r="F1192" s="338" t="s">
        <v>2795</v>
      </c>
      <c r="G1192" s="338" t="s">
        <v>413</v>
      </c>
      <c r="H1192" s="338" t="s">
        <v>425</v>
      </c>
      <c r="I1192" s="338" t="s">
        <v>411</v>
      </c>
      <c r="J1192" s="339"/>
      <c r="K1192" s="339"/>
      <c r="L1192" s="339"/>
      <c r="M1192" s="339"/>
      <c r="N1192" s="338" t="s">
        <v>417</v>
      </c>
      <c r="O1192" s="338" t="s">
        <v>443</v>
      </c>
      <c r="P1192" s="338" t="s">
        <v>410</v>
      </c>
    </row>
    <row r="1193" spans="2:16" x14ac:dyDescent="0.25">
      <c r="B1193" s="336" t="s">
        <v>416</v>
      </c>
      <c r="C1193" s="337">
        <v>40927</v>
      </c>
      <c r="D1193" s="338" t="s">
        <v>6786</v>
      </c>
      <c r="E1193" s="338" t="s">
        <v>6785</v>
      </c>
      <c r="F1193" s="338"/>
      <c r="G1193" s="338">
        <v>3</v>
      </c>
      <c r="H1193" s="338" t="s">
        <v>425</v>
      </c>
      <c r="I1193" s="338" t="s">
        <v>1243</v>
      </c>
      <c r="J1193" s="339"/>
      <c r="K1193" s="339"/>
      <c r="L1193" s="339" t="s">
        <v>409</v>
      </c>
      <c r="M1193" s="339" t="s">
        <v>409</v>
      </c>
      <c r="N1193" s="338" t="s">
        <v>605</v>
      </c>
      <c r="O1193" s="338" t="s">
        <v>409</v>
      </c>
      <c r="P1193" s="338" t="s">
        <v>417</v>
      </c>
    </row>
    <row r="1194" spans="2:16" x14ac:dyDescent="0.25">
      <c r="B1194" s="336" t="s">
        <v>1441</v>
      </c>
      <c r="C1194" s="337">
        <v>40927</v>
      </c>
      <c r="D1194" s="338" t="s">
        <v>6784</v>
      </c>
      <c r="E1194" s="338" t="s">
        <v>1574</v>
      </c>
      <c r="F1194" s="338"/>
      <c r="G1194" s="338" t="s">
        <v>413</v>
      </c>
      <c r="H1194" s="338" t="s">
        <v>412</v>
      </c>
      <c r="I1194" s="338" t="s">
        <v>1243</v>
      </c>
      <c r="J1194" s="339"/>
      <c r="K1194" s="339"/>
      <c r="L1194" s="339" t="s">
        <v>409</v>
      </c>
      <c r="M1194" s="339" t="s">
        <v>409</v>
      </c>
      <c r="N1194" s="338" t="s">
        <v>417</v>
      </c>
      <c r="O1194" s="338" t="s">
        <v>409</v>
      </c>
      <c r="P1194" s="338" t="s">
        <v>417</v>
      </c>
    </row>
    <row r="1195" spans="2:16" x14ac:dyDescent="0.25">
      <c r="B1195" s="336" t="s">
        <v>416</v>
      </c>
      <c r="C1195" s="337">
        <v>40927</v>
      </c>
      <c r="D1195" s="338" t="s">
        <v>6783</v>
      </c>
      <c r="E1195" s="338" t="s">
        <v>6750</v>
      </c>
      <c r="F1195" s="338"/>
      <c r="G1195" s="338" t="s">
        <v>413</v>
      </c>
      <c r="H1195" s="338" t="s">
        <v>412</v>
      </c>
      <c r="I1195" s="338" t="s">
        <v>411</v>
      </c>
      <c r="J1195" s="339"/>
      <c r="K1195" s="339"/>
      <c r="L1195" s="339" t="s">
        <v>409</v>
      </c>
      <c r="M1195" s="339" t="s">
        <v>409</v>
      </c>
      <c r="N1195" s="338" t="s">
        <v>408</v>
      </c>
      <c r="O1195" s="338" t="s">
        <v>409</v>
      </c>
      <c r="P1195" s="338" t="s">
        <v>408</v>
      </c>
    </row>
    <row r="1196" spans="2:16" x14ac:dyDescent="0.25">
      <c r="B1196" s="336" t="s">
        <v>416</v>
      </c>
      <c r="C1196" s="337">
        <v>40927</v>
      </c>
      <c r="D1196" s="338" t="s">
        <v>6782</v>
      </c>
      <c r="E1196" s="338" t="s">
        <v>6781</v>
      </c>
      <c r="F1196" s="338"/>
      <c r="G1196" s="338" t="s">
        <v>413</v>
      </c>
      <c r="H1196" s="338" t="s">
        <v>425</v>
      </c>
      <c r="I1196" s="338" t="s">
        <v>411</v>
      </c>
      <c r="J1196" s="339"/>
      <c r="K1196" s="339"/>
      <c r="L1196" s="339" t="s">
        <v>409</v>
      </c>
      <c r="M1196" s="339" t="s">
        <v>409</v>
      </c>
      <c r="N1196" s="338" t="s">
        <v>410</v>
      </c>
      <c r="O1196" s="338" t="s">
        <v>409</v>
      </c>
      <c r="P1196" s="338"/>
    </row>
    <row r="1197" spans="2:16" x14ac:dyDescent="0.25">
      <c r="B1197" s="336" t="s">
        <v>416</v>
      </c>
      <c r="C1197" s="337">
        <v>40926</v>
      </c>
      <c r="D1197" s="338" t="s">
        <v>6780</v>
      </c>
      <c r="E1197" s="338" t="s">
        <v>463</v>
      </c>
      <c r="F1197" s="338"/>
      <c r="G1197" s="338" t="s">
        <v>413</v>
      </c>
      <c r="H1197" s="338" t="s">
        <v>412</v>
      </c>
      <c r="I1197" s="338" t="s">
        <v>411</v>
      </c>
      <c r="J1197" s="339"/>
      <c r="K1197" s="339"/>
      <c r="L1197" s="339" t="s">
        <v>409</v>
      </c>
      <c r="M1197" s="339" t="s">
        <v>409</v>
      </c>
      <c r="N1197" s="338" t="s">
        <v>417</v>
      </c>
      <c r="O1197" s="338" t="s">
        <v>409</v>
      </c>
      <c r="P1197" s="338" t="s">
        <v>417</v>
      </c>
    </row>
    <row r="1198" spans="2:16" x14ac:dyDescent="0.25">
      <c r="B1198" s="336" t="s">
        <v>416</v>
      </c>
      <c r="C1198" s="337">
        <v>40926</v>
      </c>
      <c r="D1198" s="338" t="s">
        <v>6779</v>
      </c>
      <c r="E1198" s="338" t="s">
        <v>6778</v>
      </c>
      <c r="F1198" s="338"/>
      <c r="G1198" s="338">
        <v>9.18</v>
      </c>
      <c r="H1198" s="338" t="s">
        <v>696</v>
      </c>
      <c r="I1198" s="338" t="s">
        <v>411</v>
      </c>
      <c r="J1198" s="339"/>
      <c r="K1198" s="339"/>
      <c r="L1198" s="339" t="s">
        <v>409</v>
      </c>
      <c r="M1198" s="339" t="s">
        <v>409</v>
      </c>
      <c r="N1198" s="338" t="s">
        <v>417</v>
      </c>
      <c r="O1198" s="338" t="s">
        <v>409</v>
      </c>
      <c r="P1198" s="338" t="s">
        <v>417</v>
      </c>
    </row>
    <row r="1199" spans="2:16" x14ac:dyDescent="0.25">
      <c r="B1199" s="336" t="s">
        <v>416</v>
      </c>
      <c r="C1199" s="337">
        <v>40926</v>
      </c>
      <c r="D1199" s="338" t="s">
        <v>6777</v>
      </c>
      <c r="E1199" s="338" t="s">
        <v>6776</v>
      </c>
      <c r="F1199" s="338" t="s">
        <v>6775</v>
      </c>
      <c r="G1199" s="338">
        <v>16</v>
      </c>
      <c r="H1199" s="338" t="s">
        <v>425</v>
      </c>
      <c r="I1199" s="338" t="s">
        <v>1243</v>
      </c>
      <c r="J1199" s="339"/>
      <c r="K1199" s="339"/>
      <c r="L1199" s="339"/>
      <c r="M1199" s="339"/>
      <c r="N1199" s="338"/>
      <c r="O1199" s="338" t="s">
        <v>417</v>
      </c>
      <c r="P1199" s="338" t="s">
        <v>417</v>
      </c>
    </row>
    <row r="1200" spans="2:16" x14ac:dyDescent="0.25">
      <c r="B1200" s="336" t="s">
        <v>416</v>
      </c>
      <c r="C1200" s="337">
        <v>40926</v>
      </c>
      <c r="D1200" s="338" t="s">
        <v>6774</v>
      </c>
      <c r="E1200" s="338" t="s">
        <v>6773</v>
      </c>
      <c r="F1200" s="338" t="s">
        <v>6772</v>
      </c>
      <c r="G1200" s="338" t="s">
        <v>413</v>
      </c>
      <c r="H1200" s="338" t="s">
        <v>412</v>
      </c>
      <c r="I1200" s="338" t="s">
        <v>411</v>
      </c>
      <c r="J1200" s="339"/>
      <c r="K1200" s="339"/>
      <c r="L1200" s="339"/>
      <c r="M1200" s="339"/>
      <c r="N1200" s="338" t="s">
        <v>417</v>
      </c>
      <c r="O1200" s="338" t="s">
        <v>443</v>
      </c>
      <c r="P1200" s="338" t="s">
        <v>410</v>
      </c>
    </row>
    <row r="1201" spans="2:16" x14ac:dyDescent="0.25">
      <c r="B1201" s="336" t="s">
        <v>416</v>
      </c>
      <c r="C1201" s="337">
        <v>40925</v>
      </c>
      <c r="D1201" s="338" t="s">
        <v>6771</v>
      </c>
      <c r="E1201" s="338" t="s">
        <v>3228</v>
      </c>
      <c r="F1201" s="338" t="s">
        <v>6770</v>
      </c>
      <c r="G1201" s="338">
        <v>12.29</v>
      </c>
      <c r="H1201" s="338" t="s">
        <v>336</v>
      </c>
      <c r="I1201" s="338" t="s">
        <v>411</v>
      </c>
      <c r="J1201" s="339"/>
      <c r="K1201" s="339"/>
      <c r="L1201" s="339"/>
      <c r="M1201" s="339"/>
      <c r="N1201" s="338"/>
      <c r="O1201" s="338" t="s">
        <v>410</v>
      </c>
      <c r="P1201" s="338" t="s">
        <v>417</v>
      </c>
    </row>
    <row r="1202" spans="2:16" x14ac:dyDescent="0.25">
      <c r="B1202" s="336" t="s">
        <v>416</v>
      </c>
      <c r="C1202" s="337">
        <v>40925</v>
      </c>
      <c r="D1202" s="338" t="s">
        <v>6769</v>
      </c>
      <c r="E1202" s="338" t="s">
        <v>4561</v>
      </c>
      <c r="F1202" s="338"/>
      <c r="G1202" s="338">
        <v>0.33</v>
      </c>
      <c r="H1202" s="338" t="s">
        <v>336</v>
      </c>
      <c r="I1202" s="338" t="s">
        <v>1243</v>
      </c>
      <c r="J1202" s="339"/>
      <c r="K1202" s="339"/>
      <c r="L1202" s="339" t="s">
        <v>409</v>
      </c>
      <c r="M1202" s="339" t="s">
        <v>409</v>
      </c>
      <c r="N1202" s="338" t="s">
        <v>417</v>
      </c>
      <c r="O1202" s="338" t="s">
        <v>409</v>
      </c>
      <c r="P1202" s="338" t="s">
        <v>410</v>
      </c>
    </row>
    <row r="1203" spans="2:16" x14ac:dyDescent="0.25">
      <c r="B1203" s="336" t="s">
        <v>416</v>
      </c>
      <c r="C1203" s="337">
        <v>40925</v>
      </c>
      <c r="D1203" s="338" t="s">
        <v>6768</v>
      </c>
      <c r="E1203" s="338" t="s">
        <v>6767</v>
      </c>
      <c r="F1203" s="338" t="s">
        <v>6766</v>
      </c>
      <c r="G1203" s="338" t="s">
        <v>413</v>
      </c>
      <c r="H1203" s="338" t="s">
        <v>412</v>
      </c>
      <c r="I1203" s="338" t="s">
        <v>411</v>
      </c>
      <c r="J1203" s="339"/>
      <c r="K1203" s="339"/>
      <c r="L1203" s="339"/>
      <c r="M1203" s="339"/>
      <c r="N1203" s="338"/>
      <c r="O1203" s="338" t="s">
        <v>417</v>
      </c>
      <c r="P1203" s="338" t="s">
        <v>417</v>
      </c>
    </row>
    <row r="1204" spans="2:16" x14ac:dyDescent="0.25">
      <c r="B1204" s="336" t="s">
        <v>416</v>
      </c>
      <c r="C1204" s="337">
        <v>40924</v>
      </c>
      <c r="D1204" s="338" t="s">
        <v>6765</v>
      </c>
      <c r="E1204" s="338" t="s">
        <v>6467</v>
      </c>
      <c r="F1204" s="338" t="s">
        <v>6764</v>
      </c>
      <c r="G1204" s="338" t="s">
        <v>413</v>
      </c>
      <c r="H1204" s="338" t="s">
        <v>425</v>
      </c>
      <c r="I1204" s="338" t="s">
        <v>411</v>
      </c>
      <c r="J1204" s="339"/>
      <c r="K1204" s="339"/>
      <c r="L1204" s="339"/>
      <c r="M1204" s="339"/>
      <c r="N1204" s="338"/>
      <c r="O1204" s="338" t="s">
        <v>482</v>
      </c>
      <c r="P1204" s="338" t="s">
        <v>410</v>
      </c>
    </row>
    <row r="1205" spans="2:16" x14ac:dyDescent="0.25">
      <c r="B1205" s="336" t="s">
        <v>416</v>
      </c>
      <c r="C1205" s="337">
        <v>40921</v>
      </c>
      <c r="D1205" s="338" t="s">
        <v>6763</v>
      </c>
      <c r="E1205" s="338" t="s">
        <v>1922</v>
      </c>
      <c r="F1205" s="338"/>
      <c r="G1205" s="338" t="s">
        <v>413</v>
      </c>
      <c r="H1205" s="338" t="s">
        <v>425</v>
      </c>
      <c r="I1205" s="338" t="s">
        <v>411</v>
      </c>
      <c r="J1205" s="339"/>
      <c r="K1205" s="339"/>
      <c r="L1205" s="339" t="s">
        <v>409</v>
      </c>
      <c r="M1205" s="339" t="s">
        <v>409</v>
      </c>
      <c r="N1205" s="338" t="s">
        <v>417</v>
      </c>
      <c r="O1205" s="338" t="s">
        <v>409</v>
      </c>
      <c r="P1205" s="338" t="s">
        <v>443</v>
      </c>
    </row>
    <row r="1206" spans="2:16" x14ac:dyDescent="0.25">
      <c r="B1206" s="336" t="s">
        <v>416</v>
      </c>
      <c r="C1206" s="337">
        <v>40921</v>
      </c>
      <c r="D1206" s="338" t="s">
        <v>6762</v>
      </c>
      <c r="E1206" s="338" t="s">
        <v>1203</v>
      </c>
      <c r="F1206" s="338"/>
      <c r="G1206" s="338">
        <v>412.5</v>
      </c>
      <c r="H1206" s="338" t="s">
        <v>429</v>
      </c>
      <c r="I1206" s="338" t="s">
        <v>411</v>
      </c>
      <c r="J1206" s="339"/>
      <c r="K1206" s="339"/>
      <c r="L1206" s="339" t="s">
        <v>409</v>
      </c>
      <c r="M1206" s="339" t="s">
        <v>409</v>
      </c>
      <c r="N1206" s="338" t="s">
        <v>417</v>
      </c>
      <c r="O1206" s="338" t="s">
        <v>409</v>
      </c>
      <c r="P1206" s="338" t="s">
        <v>417</v>
      </c>
    </row>
    <row r="1207" spans="2:16" x14ac:dyDescent="0.25">
      <c r="B1207" s="336" t="s">
        <v>416</v>
      </c>
      <c r="C1207" s="337">
        <v>40921</v>
      </c>
      <c r="D1207" s="338" t="s">
        <v>6761</v>
      </c>
      <c r="E1207" s="338" t="s">
        <v>3780</v>
      </c>
      <c r="F1207" s="338" t="s">
        <v>6760</v>
      </c>
      <c r="G1207" s="338" t="s">
        <v>413</v>
      </c>
      <c r="H1207" s="338" t="s">
        <v>425</v>
      </c>
      <c r="I1207" s="338" t="s">
        <v>411</v>
      </c>
      <c r="J1207" s="339"/>
      <c r="K1207" s="339"/>
      <c r="L1207" s="339"/>
      <c r="M1207" s="339"/>
      <c r="N1207" s="338"/>
      <c r="O1207" s="338" t="s">
        <v>417</v>
      </c>
      <c r="P1207" s="338" t="s">
        <v>417</v>
      </c>
    </row>
    <row r="1208" spans="2:16" x14ac:dyDescent="0.25">
      <c r="B1208" s="336" t="s">
        <v>416</v>
      </c>
      <c r="C1208" s="337">
        <v>40920</v>
      </c>
      <c r="D1208" s="338" t="s">
        <v>6759</v>
      </c>
      <c r="E1208" s="338" t="s">
        <v>6758</v>
      </c>
      <c r="F1208" s="338"/>
      <c r="G1208" s="338" t="s">
        <v>413</v>
      </c>
      <c r="H1208" s="338" t="s">
        <v>412</v>
      </c>
      <c r="I1208" s="338" t="s">
        <v>411</v>
      </c>
      <c r="J1208" s="339"/>
      <c r="K1208" s="339"/>
      <c r="L1208" s="339" t="s">
        <v>409</v>
      </c>
      <c r="M1208" s="339" t="s">
        <v>409</v>
      </c>
      <c r="N1208" s="338" t="s">
        <v>417</v>
      </c>
      <c r="O1208" s="338" t="s">
        <v>409</v>
      </c>
      <c r="P1208" s="338" t="s">
        <v>417</v>
      </c>
    </row>
    <row r="1209" spans="2:16" x14ac:dyDescent="0.25">
      <c r="B1209" s="336" t="s">
        <v>416</v>
      </c>
      <c r="C1209" s="337">
        <v>40920</v>
      </c>
      <c r="D1209" s="338" t="s">
        <v>6757</v>
      </c>
      <c r="E1209" s="338" t="s">
        <v>6756</v>
      </c>
      <c r="F1209" s="338"/>
      <c r="G1209" s="338" t="s">
        <v>413</v>
      </c>
      <c r="H1209" s="338" t="s">
        <v>412</v>
      </c>
      <c r="I1209" s="338" t="s">
        <v>411</v>
      </c>
      <c r="J1209" s="339"/>
      <c r="K1209" s="339"/>
      <c r="L1209" s="339" t="s">
        <v>409</v>
      </c>
      <c r="M1209" s="339" t="s">
        <v>409</v>
      </c>
      <c r="N1209" s="338" t="s">
        <v>417</v>
      </c>
      <c r="O1209" s="338" t="s">
        <v>409</v>
      </c>
      <c r="P1209" s="338" t="s">
        <v>417</v>
      </c>
    </row>
    <row r="1210" spans="2:16" x14ac:dyDescent="0.25">
      <c r="B1210" s="336" t="s">
        <v>416</v>
      </c>
      <c r="C1210" s="337">
        <v>40920</v>
      </c>
      <c r="D1210" s="338" t="s">
        <v>6755</v>
      </c>
      <c r="E1210" s="338" t="s">
        <v>834</v>
      </c>
      <c r="F1210" s="338"/>
      <c r="G1210" s="338">
        <v>335</v>
      </c>
      <c r="H1210" s="338" t="s">
        <v>425</v>
      </c>
      <c r="I1210" s="338" t="s">
        <v>411</v>
      </c>
      <c r="J1210" s="339"/>
      <c r="K1210" s="339"/>
      <c r="L1210" s="339" t="s">
        <v>409</v>
      </c>
      <c r="M1210" s="339" t="s">
        <v>409</v>
      </c>
      <c r="N1210" s="338" t="s">
        <v>432</v>
      </c>
      <c r="O1210" s="338" t="s">
        <v>409</v>
      </c>
      <c r="P1210" s="338" t="s">
        <v>417</v>
      </c>
    </row>
    <row r="1211" spans="2:16" x14ac:dyDescent="0.25">
      <c r="B1211" s="336" t="s">
        <v>416</v>
      </c>
      <c r="C1211" s="337">
        <v>40919</v>
      </c>
      <c r="D1211" s="338" t="s">
        <v>6754</v>
      </c>
      <c r="E1211" s="338" t="s">
        <v>1001</v>
      </c>
      <c r="F1211" s="338"/>
      <c r="G1211" s="338" t="s">
        <v>413</v>
      </c>
      <c r="H1211" s="338" t="s">
        <v>412</v>
      </c>
      <c r="I1211" s="338" t="s">
        <v>411</v>
      </c>
      <c r="J1211" s="339"/>
      <c r="K1211" s="339"/>
      <c r="L1211" s="339" t="s">
        <v>409</v>
      </c>
      <c r="M1211" s="339" t="s">
        <v>409</v>
      </c>
      <c r="N1211" s="338" t="s">
        <v>417</v>
      </c>
      <c r="O1211" s="338" t="s">
        <v>409</v>
      </c>
      <c r="P1211" s="338" t="s">
        <v>417</v>
      </c>
    </row>
    <row r="1212" spans="2:16" x14ac:dyDescent="0.25">
      <c r="B1212" s="336" t="s">
        <v>459</v>
      </c>
      <c r="C1212" s="337">
        <v>40918</v>
      </c>
      <c r="D1212" s="338" t="s">
        <v>6463</v>
      </c>
      <c r="E1212" s="338" t="s">
        <v>6528</v>
      </c>
      <c r="F1212" s="338"/>
      <c r="G1212" s="338">
        <v>28</v>
      </c>
      <c r="H1212" s="338" t="s">
        <v>425</v>
      </c>
      <c r="I1212" s="338" t="s">
        <v>411</v>
      </c>
      <c r="J1212" s="339"/>
      <c r="K1212" s="339"/>
      <c r="L1212" s="339" t="s">
        <v>409</v>
      </c>
      <c r="M1212" s="339" t="s">
        <v>409</v>
      </c>
      <c r="N1212" s="338" t="s">
        <v>432</v>
      </c>
      <c r="O1212" s="338" t="s">
        <v>409</v>
      </c>
      <c r="P1212" s="338" t="s">
        <v>443</v>
      </c>
    </row>
    <row r="1213" spans="2:16" x14ac:dyDescent="0.25">
      <c r="B1213" s="336" t="s">
        <v>416</v>
      </c>
      <c r="C1213" s="337">
        <v>40918</v>
      </c>
      <c r="D1213" s="338" t="s">
        <v>6753</v>
      </c>
      <c r="E1213" s="338" t="s">
        <v>6752</v>
      </c>
      <c r="F1213" s="338" t="s">
        <v>1228</v>
      </c>
      <c r="G1213" s="338" t="s">
        <v>413</v>
      </c>
      <c r="H1213" s="338" t="s">
        <v>425</v>
      </c>
      <c r="I1213" s="338" t="s">
        <v>411</v>
      </c>
      <c r="J1213" s="339"/>
      <c r="K1213" s="339"/>
      <c r="L1213" s="339">
        <v>1.84887</v>
      </c>
      <c r="M1213" s="339">
        <v>10.621600000000001</v>
      </c>
      <c r="N1213" s="338" t="s">
        <v>410</v>
      </c>
      <c r="O1213" s="338" t="s">
        <v>410</v>
      </c>
      <c r="P1213" s="338" t="s">
        <v>487</v>
      </c>
    </row>
    <row r="1214" spans="2:16" x14ac:dyDescent="0.25">
      <c r="B1214" s="336" t="s">
        <v>416</v>
      </c>
      <c r="C1214" s="337">
        <v>40918</v>
      </c>
      <c r="D1214" s="338" t="s">
        <v>6751</v>
      </c>
      <c r="E1214" s="338" t="s">
        <v>6750</v>
      </c>
      <c r="F1214" s="338"/>
      <c r="G1214" s="338">
        <v>15</v>
      </c>
      <c r="H1214" s="338" t="s">
        <v>425</v>
      </c>
      <c r="I1214" s="338" t="s">
        <v>411</v>
      </c>
      <c r="J1214" s="339"/>
      <c r="K1214" s="339"/>
      <c r="L1214" s="339" t="s">
        <v>409</v>
      </c>
      <c r="M1214" s="339" t="s">
        <v>409</v>
      </c>
      <c r="N1214" s="338" t="s">
        <v>487</v>
      </c>
      <c r="O1214" s="338" t="s">
        <v>409</v>
      </c>
      <c r="P1214" s="338" t="s">
        <v>408</v>
      </c>
    </row>
    <row r="1215" spans="2:16" x14ac:dyDescent="0.25">
      <c r="B1215" s="336" t="s">
        <v>416</v>
      </c>
      <c r="C1215" s="337">
        <v>40918</v>
      </c>
      <c r="D1215" s="338" t="s">
        <v>6749</v>
      </c>
      <c r="E1215" s="338" t="s">
        <v>6748</v>
      </c>
      <c r="F1215" s="338"/>
      <c r="G1215" s="338">
        <v>244</v>
      </c>
      <c r="H1215" s="338" t="s">
        <v>429</v>
      </c>
      <c r="I1215" s="338" t="s">
        <v>411</v>
      </c>
      <c r="J1215" s="339"/>
      <c r="K1215" s="339"/>
      <c r="L1215" s="339" t="s">
        <v>409</v>
      </c>
      <c r="M1215" s="339" t="s">
        <v>409</v>
      </c>
      <c r="N1215" s="338" t="s">
        <v>417</v>
      </c>
      <c r="O1215" s="338" t="s">
        <v>409</v>
      </c>
      <c r="P1215" s="338" t="s">
        <v>417</v>
      </c>
    </row>
    <row r="1216" spans="2:16" x14ac:dyDescent="0.25">
      <c r="B1216" s="336" t="s">
        <v>416</v>
      </c>
      <c r="C1216" s="337">
        <v>40917</v>
      </c>
      <c r="D1216" s="338" t="s">
        <v>6747</v>
      </c>
      <c r="E1216" s="338" t="s">
        <v>580</v>
      </c>
      <c r="F1216" s="338" t="s">
        <v>6746</v>
      </c>
      <c r="G1216" s="338" t="s">
        <v>413</v>
      </c>
      <c r="H1216" s="338" t="s">
        <v>412</v>
      </c>
      <c r="I1216" s="338" t="s">
        <v>411</v>
      </c>
      <c r="J1216" s="339"/>
      <c r="K1216" s="339"/>
      <c r="L1216" s="339"/>
      <c r="M1216" s="339"/>
      <c r="N1216" s="338"/>
      <c r="O1216" s="338" t="s">
        <v>417</v>
      </c>
      <c r="P1216" s="338" t="s">
        <v>417</v>
      </c>
    </row>
    <row r="1217" spans="2:16" x14ac:dyDescent="0.25">
      <c r="B1217" s="336" t="s">
        <v>416</v>
      </c>
      <c r="C1217" s="337">
        <v>40917</v>
      </c>
      <c r="D1217" s="338" t="s">
        <v>6745</v>
      </c>
      <c r="E1217" s="338" t="s">
        <v>5760</v>
      </c>
      <c r="F1217" s="338"/>
      <c r="G1217" s="338" t="s">
        <v>413</v>
      </c>
      <c r="H1217" s="338" t="s">
        <v>425</v>
      </c>
      <c r="I1217" s="338" t="s">
        <v>411</v>
      </c>
      <c r="J1217" s="339"/>
      <c r="K1217" s="339"/>
      <c r="L1217" s="339" t="s">
        <v>409</v>
      </c>
      <c r="M1217" s="339" t="s">
        <v>409</v>
      </c>
      <c r="N1217" s="338"/>
      <c r="O1217" s="338" t="s">
        <v>409</v>
      </c>
      <c r="P1217" s="338" t="s">
        <v>417</v>
      </c>
    </row>
    <row r="1218" spans="2:16" x14ac:dyDescent="0.25">
      <c r="B1218" s="336" t="s">
        <v>416</v>
      </c>
      <c r="C1218" s="337">
        <v>40917</v>
      </c>
      <c r="D1218" s="338" t="s">
        <v>6744</v>
      </c>
      <c r="E1218" s="338" t="s">
        <v>5357</v>
      </c>
      <c r="F1218" s="338"/>
      <c r="G1218" s="338" t="s">
        <v>413</v>
      </c>
      <c r="H1218" s="338" t="s">
        <v>412</v>
      </c>
      <c r="I1218" s="338" t="s">
        <v>411</v>
      </c>
      <c r="J1218" s="339"/>
      <c r="K1218" s="339"/>
      <c r="L1218" s="339" t="s">
        <v>409</v>
      </c>
      <c r="M1218" s="339" t="s">
        <v>409</v>
      </c>
      <c r="N1218" s="338" t="s">
        <v>417</v>
      </c>
      <c r="O1218" s="338" t="s">
        <v>409</v>
      </c>
      <c r="P1218" s="338" t="s">
        <v>417</v>
      </c>
    </row>
    <row r="1219" spans="2:16" x14ac:dyDescent="0.25">
      <c r="B1219" s="336" t="s">
        <v>416</v>
      </c>
      <c r="C1219" s="337">
        <v>40917</v>
      </c>
      <c r="D1219" s="338" t="s">
        <v>5814</v>
      </c>
      <c r="E1219" s="338" t="s">
        <v>5813</v>
      </c>
      <c r="F1219" s="338"/>
      <c r="G1219" s="338" t="s">
        <v>413</v>
      </c>
      <c r="H1219" s="338" t="s">
        <v>412</v>
      </c>
      <c r="I1219" s="338" t="s">
        <v>411</v>
      </c>
      <c r="J1219" s="339"/>
      <c r="K1219" s="339"/>
      <c r="L1219" s="339" t="s">
        <v>409</v>
      </c>
      <c r="M1219" s="339" t="s">
        <v>409</v>
      </c>
      <c r="N1219" s="338" t="s">
        <v>417</v>
      </c>
      <c r="O1219" s="338" t="s">
        <v>409</v>
      </c>
      <c r="P1219" s="338" t="s">
        <v>417</v>
      </c>
    </row>
    <row r="1220" spans="2:16" x14ac:dyDescent="0.25">
      <c r="B1220" s="336" t="s">
        <v>416</v>
      </c>
      <c r="C1220" s="337">
        <v>40917</v>
      </c>
      <c r="D1220" s="338" t="s">
        <v>6743</v>
      </c>
      <c r="E1220" s="338" t="s">
        <v>2418</v>
      </c>
      <c r="F1220" s="338" t="s">
        <v>6742</v>
      </c>
      <c r="G1220" s="338">
        <v>160</v>
      </c>
      <c r="H1220" s="338" t="s">
        <v>425</v>
      </c>
      <c r="I1220" s="338" t="s">
        <v>411</v>
      </c>
      <c r="J1220" s="339"/>
      <c r="K1220" s="339"/>
      <c r="L1220" s="339">
        <v>7.7664499999999997E-2</v>
      </c>
      <c r="M1220" s="339">
        <v>2.5164</v>
      </c>
      <c r="N1220" s="338"/>
      <c r="O1220" s="338" t="s">
        <v>410</v>
      </c>
      <c r="P1220" s="338" t="s">
        <v>417</v>
      </c>
    </row>
    <row r="1221" spans="2:16" x14ac:dyDescent="0.25">
      <c r="B1221" s="336" t="s">
        <v>416</v>
      </c>
      <c r="C1221" s="337">
        <v>40917</v>
      </c>
      <c r="D1221" s="338" t="s">
        <v>956</v>
      </c>
      <c r="E1221" s="338" t="s">
        <v>6741</v>
      </c>
      <c r="F1221" s="338" t="s">
        <v>3358</v>
      </c>
      <c r="G1221" s="338" t="s">
        <v>413</v>
      </c>
      <c r="H1221" s="338" t="s">
        <v>412</v>
      </c>
      <c r="I1221" s="338" t="s">
        <v>411</v>
      </c>
      <c r="J1221" s="339"/>
      <c r="K1221" s="339"/>
      <c r="L1221" s="339"/>
      <c r="M1221" s="339"/>
      <c r="N1221" s="338"/>
      <c r="O1221" s="338" t="s">
        <v>417</v>
      </c>
      <c r="P1221" s="338" t="s">
        <v>417</v>
      </c>
    </row>
    <row r="1222" spans="2:16" x14ac:dyDescent="0.25">
      <c r="B1222" s="336" t="s">
        <v>416</v>
      </c>
      <c r="C1222" s="337">
        <v>40913</v>
      </c>
      <c r="D1222" s="338" t="s">
        <v>6740</v>
      </c>
      <c r="E1222" s="338" t="s">
        <v>6739</v>
      </c>
      <c r="F1222" s="338"/>
      <c r="G1222" s="338" t="s">
        <v>413</v>
      </c>
      <c r="H1222" s="338" t="s">
        <v>412</v>
      </c>
      <c r="I1222" s="338" t="s">
        <v>411</v>
      </c>
      <c r="J1222" s="339"/>
      <c r="K1222" s="339"/>
      <c r="L1222" s="339" t="s">
        <v>409</v>
      </c>
      <c r="M1222" s="339" t="s">
        <v>409</v>
      </c>
      <c r="N1222" s="338" t="s">
        <v>417</v>
      </c>
      <c r="O1222" s="338" t="s">
        <v>409</v>
      </c>
      <c r="P1222" s="338" t="s">
        <v>417</v>
      </c>
    </row>
    <row r="1223" spans="2:16" x14ac:dyDescent="0.25">
      <c r="B1223" s="336" t="s">
        <v>416</v>
      </c>
      <c r="C1223" s="337">
        <v>40913</v>
      </c>
      <c r="D1223" s="338" t="s">
        <v>6738</v>
      </c>
      <c r="E1223" s="338" t="s">
        <v>5884</v>
      </c>
      <c r="F1223" s="338"/>
      <c r="G1223" s="338" t="s">
        <v>413</v>
      </c>
      <c r="H1223" s="338" t="s">
        <v>412</v>
      </c>
      <c r="I1223" s="338" t="s">
        <v>411</v>
      </c>
      <c r="J1223" s="339"/>
      <c r="K1223" s="339"/>
      <c r="L1223" s="339" t="s">
        <v>409</v>
      </c>
      <c r="M1223" s="339" t="s">
        <v>409</v>
      </c>
      <c r="N1223" s="338" t="s">
        <v>410</v>
      </c>
      <c r="O1223" s="338" t="s">
        <v>409</v>
      </c>
      <c r="P1223" s="338" t="s">
        <v>410</v>
      </c>
    </row>
    <row r="1224" spans="2:16" x14ac:dyDescent="0.25">
      <c r="B1224" s="336" t="s">
        <v>416</v>
      </c>
      <c r="C1224" s="337">
        <v>40913</v>
      </c>
      <c r="D1224" s="338" t="s">
        <v>6737</v>
      </c>
      <c r="E1224" s="338" t="s">
        <v>4611</v>
      </c>
      <c r="F1224" s="338"/>
      <c r="G1224" s="338" t="s">
        <v>413</v>
      </c>
      <c r="H1224" s="338" t="s">
        <v>412</v>
      </c>
      <c r="I1224" s="338" t="s">
        <v>411</v>
      </c>
      <c r="J1224" s="339"/>
      <c r="K1224" s="339"/>
      <c r="L1224" s="339" t="s">
        <v>409</v>
      </c>
      <c r="M1224" s="339" t="s">
        <v>409</v>
      </c>
      <c r="N1224" s="338" t="s">
        <v>417</v>
      </c>
      <c r="O1224" s="338" t="s">
        <v>409</v>
      </c>
      <c r="P1224" s="338" t="s">
        <v>432</v>
      </c>
    </row>
    <row r="1225" spans="2:16" x14ac:dyDescent="0.25">
      <c r="B1225" s="336" t="s">
        <v>416</v>
      </c>
      <c r="C1225" s="337">
        <v>40913</v>
      </c>
      <c r="D1225" s="338" t="s">
        <v>6736</v>
      </c>
      <c r="E1225" s="338" t="s">
        <v>1322</v>
      </c>
      <c r="F1225" s="338"/>
      <c r="G1225" s="338" t="s">
        <v>413</v>
      </c>
      <c r="H1225" s="338" t="s">
        <v>412</v>
      </c>
      <c r="I1225" s="338" t="s">
        <v>411</v>
      </c>
      <c r="J1225" s="339"/>
      <c r="K1225" s="339"/>
      <c r="L1225" s="339" t="s">
        <v>409</v>
      </c>
      <c r="M1225" s="339" t="s">
        <v>409</v>
      </c>
      <c r="N1225" s="338" t="s">
        <v>408</v>
      </c>
      <c r="O1225" s="338" t="s">
        <v>409</v>
      </c>
      <c r="P1225" s="338" t="s">
        <v>417</v>
      </c>
    </row>
    <row r="1226" spans="2:16" x14ac:dyDescent="0.25">
      <c r="B1226" s="336" t="s">
        <v>416</v>
      </c>
      <c r="C1226" s="337">
        <v>40912</v>
      </c>
      <c r="D1226" s="338" t="s">
        <v>6735</v>
      </c>
      <c r="E1226" s="338" t="s">
        <v>6734</v>
      </c>
      <c r="F1226" s="338"/>
      <c r="G1226" s="338" t="s">
        <v>413</v>
      </c>
      <c r="H1226" s="338" t="s">
        <v>336</v>
      </c>
      <c r="I1226" s="338" t="s">
        <v>411</v>
      </c>
      <c r="J1226" s="339"/>
      <c r="K1226" s="339"/>
      <c r="L1226" s="339" t="s">
        <v>409</v>
      </c>
      <c r="M1226" s="339" t="s">
        <v>409</v>
      </c>
      <c r="N1226" s="338" t="s">
        <v>443</v>
      </c>
      <c r="O1226" s="338" t="s">
        <v>409</v>
      </c>
      <c r="P1226" s="338" t="s">
        <v>417</v>
      </c>
    </row>
    <row r="1227" spans="2:16" x14ac:dyDescent="0.25">
      <c r="B1227" s="336" t="s">
        <v>416</v>
      </c>
      <c r="C1227" s="337">
        <v>40912</v>
      </c>
      <c r="D1227" s="338" t="s">
        <v>6733</v>
      </c>
      <c r="E1227" s="338" t="s">
        <v>5135</v>
      </c>
      <c r="F1227" s="338"/>
      <c r="G1227" s="338" t="s">
        <v>413</v>
      </c>
      <c r="H1227" s="338" t="s">
        <v>412</v>
      </c>
      <c r="I1227" s="338" t="s">
        <v>411</v>
      </c>
      <c r="J1227" s="339"/>
      <c r="K1227" s="339"/>
      <c r="L1227" s="339" t="s">
        <v>409</v>
      </c>
      <c r="M1227" s="339" t="s">
        <v>409</v>
      </c>
      <c r="N1227" s="338" t="s">
        <v>417</v>
      </c>
      <c r="O1227" s="338" t="s">
        <v>409</v>
      </c>
      <c r="P1227" s="338" t="s">
        <v>417</v>
      </c>
    </row>
    <row r="1228" spans="2:16" x14ac:dyDescent="0.25">
      <c r="B1228" s="336" t="s">
        <v>416</v>
      </c>
      <c r="C1228" s="337">
        <v>40912</v>
      </c>
      <c r="D1228" s="338" t="s">
        <v>6732</v>
      </c>
      <c r="E1228" s="338" t="s">
        <v>3485</v>
      </c>
      <c r="F1228" s="338" t="s">
        <v>6731</v>
      </c>
      <c r="G1228" s="338">
        <v>8.9</v>
      </c>
      <c r="H1228" s="338" t="s">
        <v>425</v>
      </c>
      <c r="I1228" s="338" t="s">
        <v>411</v>
      </c>
      <c r="J1228" s="339"/>
      <c r="K1228" s="339"/>
      <c r="L1228" s="339">
        <v>0.39936500000000003</v>
      </c>
      <c r="M1228" s="339">
        <v>25.909400000000002</v>
      </c>
      <c r="N1228" s="338" t="s">
        <v>417</v>
      </c>
      <c r="O1228" s="338" t="s">
        <v>417</v>
      </c>
      <c r="P1228" s="338" t="s">
        <v>417</v>
      </c>
    </row>
    <row r="1229" spans="2:16" x14ac:dyDescent="0.25">
      <c r="B1229" s="336" t="s">
        <v>416</v>
      </c>
      <c r="C1229" s="337">
        <v>40912</v>
      </c>
      <c r="D1229" s="338" t="s">
        <v>6730</v>
      </c>
      <c r="E1229" s="338" t="s">
        <v>5440</v>
      </c>
      <c r="F1229" s="338"/>
      <c r="G1229" s="338" t="s">
        <v>413</v>
      </c>
      <c r="H1229" s="338" t="s">
        <v>412</v>
      </c>
      <c r="I1229" s="338" t="s">
        <v>411</v>
      </c>
      <c r="J1229" s="339"/>
      <c r="K1229" s="339"/>
      <c r="L1229" s="339" t="s">
        <v>409</v>
      </c>
      <c r="M1229" s="339" t="s">
        <v>409</v>
      </c>
      <c r="N1229" s="338" t="s">
        <v>432</v>
      </c>
      <c r="O1229" s="338" t="s">
        <v>409</v>
      </c>
      <c r="P1229" s="338" t="s">
        <v>417</v>
      </c>
    </row>
    <row r="1230" spans="2:16" x14ac:dyDescent="0.25">
      <c r="B1230" s="336" t="s">
        <v>416</v>
      </c>
      <c r="C1230" s="337">
        <v>40912</v>
      </c>
      <c r="D1230" s="338" t="s">
        <v>6729</v>
      </c>
      <c r="E1230" s="338" t="s">
        <v>1403</v>
      </c>
      <c r="F1230" s="338"/>
      <c r="G1230" s="338" t="s">
        <v>413</v>
      </c>
      <c r="H1230" s="338" t="s">
        <v>425</v>
      </c>
      <c r="I1230" s="338" t="s">
        <v>411</v>
      </c>
      <c r="J1230" s="339">
        <v>0.41236499999999998</v>
      </c>
      <c r="K1230" s="339">
        <v>6.2885</v>
      </c>
      <c r="L1230" s="339" t="s">
        <v>409</v>
      </c>
      <c r="M1230" s="339" t="s">
        <v>409</v>
      </c>
      <c r="N1230" s="338" t="s">
        <v>417</v>
      </c>
      <c r="O1230" s="338" t="s">
        <v>409</v>
      </c>
      <c r="P1230" s="338" t="s">
        <v>417</v>
      </c>
    </row>
    <row r="1231" spans="2:16" x14ac:dyDescent="0.25">
      <c r="B1231" s="336" t="s">
        <v>416</v>
      </c>
      <c r="C1231" s="337">
        <v>40908</v>
      </c>
      <c r="D1231" s="338" t="s">
        <v>6728</v>
      </c>
      <c r="E1231" s="338" t="s">
        <v>5155</v>
      </c>
      <c r="F1231" s="338" t="s">
        <v>6635</v>
      </c>
      <c r="G1231" s="338">
        <v>4.8</v>
      </c>
      <c r="H1231" s="338" t="s">
        <v>425</v>
      </c>
      <c r="I1231" s="338" t="s">
        <v>411</v>
      </c>
      <c r="J1231" s="339"/>
      <c r="K1231" s="339"/>
      <c r="L1231" s="339"/>
      <c r="M1231" s="339"/>
      <c r="N1231" s="338"/>
      <c r="O1231" s="338" t="s">
        <v>612</v>
      </c>
      <c r="P1231" s="338" t="s">
        <v>417</v>
      </c>
    </row>
    <row r="1232" spans="2:16" x14ac:dyDescent="0.25">
      <c r="B1232" s="336" t="s">
        <v>416</v>
      </c>
      <c r="C1232" s="337">
        <v>40906</v>
      </c>
      <c r="D1232" s="338" t="s">
        <v>6727</v>
      </c>
      <c r="E1232" s="338" t="s">
        <v>4408</v>
      </c>
      <c r="F1232" s="338"/>
      <c r="G1232" s="338" t="s">
        <v>413</v>
      </c>
      <c r="H1232" s="338" t="s">
        <v>412</v>
      </c>
      <c r="I1232" s="338" t="s">
        <v>411</v>
      </c>
      <c r="J1232" s="339"/>
      <c r="K1232" s="339"/>
      <c r="L1232" s="339" t="s">
        <v>409</v>
      </c>
      <c r="M1232" s="339" t="s">
        <v>409</v>
      </c>
      <c r="N1232" s="338" t="s">
        <v>487</v>
      </c>
      <c r="O1232" s="338" t="s">
        <v>409</v>
      </c>
      <c r="P1232" s="338" t="s">
        <v>417</v>
      </c>
    </row>
    <row r="1233" spans="2:16" x14ac:dyDescent="0.25">
      <c r="B1233" s="336" t="s">
        <v>459</v>
      </c>
      <c r="C1233" s="337">
        <v>40903</v>
      </c>
      <c r="D1233" s="338" t="s">
        <v>6726</v>
      </c>
      <c r="E1233" s="338" t="s">
        <v>6725</v>
      </c>
      <c r="F1233" s="338"/>
      <c r="G1233" s="338">
        <v>2</v>
      </c>
      <c r="H1233" s="338" t="s">
        <v>425</v>
      </c>
      <c r="I1233" s="338" t="s">
        <v>1243</v>
      </c>
      <c r="J1233" s="339"/>
      <c r="K1233" s="339"/>
      <c r="L1233" s="339" t="s">
        <v>409</v>
      </c>
      <c r="M1233" s="339" t="s">
        <v>409</v>
      </c>
      <c r="N1233" s="338" t="s">
        <v>417</v>
      </c>
      <c r="O1233" s="338" t="s">
        <v>409</v>
      </c>
      <c r="P1233" s="338" t="s">
        <v>417</v>
      </c>
    </row>
    <row r="1234" spans="2:16" x14ac:dyDescent="0.25">
      <c r="B1234" s="336" t="s">
        <v>416</v>
      </c>
      <c r="C1234" s="337">
        <v>40900</v>
      </c>
      <c r="D1234" s="338" t="s">
        <v>6724</v>
      </c>
      <c r="E1234" s="338" t="s">
        <v>6723</v>
      </c>
      <c r="F1234" s="338" t="s">
        <v>6722</v>
      </c>
      <c r="G1234" s="338">
        <v>32</v>
      </c>
      <c r="H1234" s="338" t="s">
        <v>425</v>
      </c>
      <c r="I1234" s="338" t="s">
        <v>411</v>
      </c>
      <c r="J1234" s="339"/>
      <c r="K1234" s="339"/>
      <c r="L1234" s="339">
        <v>0.87157200000000001</v>
      </c>
      <c r="M1234" s="339">
        <v>4.8637300000000003</v>
      </c>
      <c r="N1234" s="338"/>
      <c r="O1234" s="338" t="s">
        <v>487</v>
      </c>
      <c r="P1234" s="338" t="s">
        <v>417</v>
      </c>
    </row>
    <row r="1235" spans="2:16" x14ac:dyDescent="0.25">
      <c r="B1235" s="336" t="s">
        <v>416</v>
      </c>
      <c r="C1235" s="337">
        <v>40900</v>
      </c>
      <c r="D1235" s="338" t="s">
        <v>1435</v>
      </c>
      <c r="E1235" s="338" t="s">
        <v>3997</v>
      </c>
      <c r="F1235" s="338"/>
      <c r="G1235" s="338">
        <v>174.62</v>
      </c>
      <c r="H1235" s="338" t="s">
        <v>429</v>
      </c>
      <c r="I1235" s="338" t="s">
        <v>411</v>
      </c>
      <c r="J1235" s="339">
        <v>0.63963400000000004</v>
      </c>
      <c r="K1235" s="339"/>
      <c r="L1235" s="339" t="s">
        <v>409</v>
      </c>
      <c r="M1235" s="339" t="s">
        <v>409</v>
      </c>
      <c r="N1235" s="338" t="s">
        <v>410</v>
      </c>
      <c r="O1235" s="338" t="s">
        <v>409</v>
      </c>
      <c r="P1235" s="338" t="s">
        <v>417</v>
      </c>
    </row>
    <row r="1236" spans="2:16" x14ac:dyDescent="0.25">
      <c r="B1236" s="336" t="s">
        <v>416</v>
      </c>
      <c r="C1236" s="337">
        <v>40900</v>
      </c>
      <c r="D1236" s="338" t="s">
        <v>805</v>
      </c>
      <c r="E1236" s="338" t="s">
        <v>2495</v>
      </c>
      <c r="F1236" s="338" t="s">
        <v>804</v>
      </c>
      <c r="G1236" s="338" t="s">
        <v>413</v>
      </c>
      <c r="H1236" s="338" t="s">
        <v>425</v>
      </c>
      <c r="I1236" s="338" t="s">
        <v>411</v>
      </c>
      <c r="J1236" s="339"/>
      <c r="K1236" s="339"/>
      <c r="L1236" s="339"/>
      <c r="M1236" s="339"/>
      <c r="N1236" s="338" t="s">
        <v>417</v>
      </c>
      <c r="O1236" s="338" t="s">
        <v>443</v>
      </c>
      <c r="P1236" s="338" t="s">
        <v>443</v>
      </c>
    </row>
    <row r="1237" spans="2:16" x14ac:dyDescent="0.25">
      <c r="B1237" s="336" t="s">
        <v>416</v>
      </c>
      <c r="C1237" s="337">
        <v>40899</v>
      </c>
      <c r="D1237" s="338" t="s">
        <v>6721</v>
      </c>
      <c r="E1237" s="338" t="s">
        <v>6720</v>
      </c>
      <c r="F1237" s="338"/>
      <c r="G1237" s="338" t="s">
        <v>413</v>
      </c>
      <c r="H1237" s="338" t="s">
        <v>412</v>
      </c>
      <c r="I1237" s="338" t="s">
        <v>411</v>
      </c>
      <c r="J1237" s="339"/>
      <c r="K1237" s="339"/>
      <c r="L1237" s="339" t="s">
        <v>409</v>
      </c>
      <c r="M1237" s="339" t="s">
        <v>409</v>
      </c>
      <c r="N1237" s="338" t="s">
        <v>417</v>
      </c>
      <c r="O1237" s="338" t="s">
        <v>409</v>
      </c>
      <c r="P1237" s="338" t="s">
        <v>410</v>
      </c>
    </row>
    <row r="1238" spans="2:16" x14ac:dyDescent="0.25">
      <c r="B1238" s="336" t="s">
        <v>459</v>
      </c>
      <c r="C1238" s="337">
        <v>40898</v>
      </c>
      <c r="D1238" s="338" t="s">
        <v>3550</v>
      </c>
      <c r="E1238" s="338" t="s">
        <v>6719</v>
      </c>
      <c r="F1238" s="338"/>
      <c r="G1238" s="338">
        <v>40</v>
      </c>
      <c r="H1238" s="338" t="s">
        <v>425</v>
      </c>
      <c r="I1238" s="338" t="s">
        <v>411</v>
      </c>
      <c r="J1238" s="339"/>
      <c r="K1238" s="339"/>
      <c r="L1238" s="339" t="s">
        <v>409</v>
      </c>
      <c r="M1238" s="339" t="s">
        <v>409</v>
      </c>
      <c r="N1238" s="338" t="s">
        <v>417</v>
      </c>
      <c r="O1238" s="338" t="s">
        <v>409</v>
      </c>
      <c r="P1238" s="338"/>
    </row>
    <row r="1239" spans="2:16" x14ac:dyDescent="0.25">
      <c r="B1239" s="336" t="s">
        <v>416</v>
      </c>
      <c r="C1239" s="337">
        <v>40897</v>
      </c>
      <c r="D1239" s="338" t="s">
        <v>6718</v>
      </c>
      <c r="E1239" s="338" t="s">
        <v>6626</v>
      </c>
      <c r="F1239" s="338"/>
      <c r="G1239" s="338" t="s">
        <v>413</v>
      </c>
      <c r="H1239" s="338" t="s">
        <v>412</v>
      </c>
      <c r="I1239" s="338" t="s">
        <v>411</v>
      </c>
      <c r="J1239" s="339"/>
      <c r="K1239" s="339"/>
      <c r="L1239" s="339" t="s">
        <v>409</v>
      </c>
      <c r="M1239" s="339" t="s">
        <v>409</v>
      </c>
      <c r="N1239" s="338" t="s">
        <v>605</v>
      </c>
      <c r="O1239" s="338" t="s">
        <v>409</v>
      </c>
      <c r="P1239" s="338" t="s">
        <v>605</v>
      </c>
    </row>
    <row r="1240" spans="2:16" x14ac:dyDescent="0.25">
      <c r="B1240" s="336" t="s">
        <v>416</v>
      </c>
      <c r="C1240" s="337">
        <v>40896</v>
      </c>
      <c r="D1240" s="338" t="s">
        <v>4114</v>
      </c>
      <c r="E1240" s="338" t="s">
        <v>732</v>
      </c>
      <c r="F1240" s="338" t="s">
        <v>6717</v>
      </c>
      <c r="G1240" s="338" t="s">
        <v>413</v>
      </c>
      <c r="H1240" s="338" t="s">
        <v>425</v>
      </c>
      <c r="I1240" s="338" t="s">
        <v>411</v>
      </c>
      <c r="J1240" s="339"/>
      <c r="K1240" s="339"/>
      <c r="L1240" s="339"/>
      <c r="M1240" s="339"/>
      <c r="N1240" s="338" t="s">
        <v>417</v>
      </c>
      <c r="O1240" s="338" t="s">
        <v>443</v>
      </c>
      <c r="P1240" s="338" t="s">
        <v>443</v>
      </c>
    </row>
    <row r="1241" spans="2:16" x14ac:dyDescent="0.25">
      <c r="B1241" s="336" t="s">
        <v>416</v>
      </c>
      <c r="C1241" s="337">
        <v>40896</v>
      </c>
      <c r="D1241" s="338" t="s">
        <v>945</v>
      </c>
      <c r="E1241" s="338" t="s">
        <v>6716</v>
      </c>
      <c r="F1241" s="338" t="s">
        <v>6715</v>
      </c>
      <c r="G1241" s="338" t="s">
        <v>413</v>
      </c>
      <c r="H1241" s="338" t="s">
        <v>425</v>
      </c>
      <c r="I1241" s="338" t="s">
        <v>411</v>
      </c>
      <c r="J1241" s="339"/>
      <c r="K1241" s="339"/>
      <c r="L1241" s="339"/>
      <c r="M1241" s="339"/>
      <c r="N1241" s="338"/>
      <c r="O1241" s="338" t="s">
        <v>417</v>
      </c>
      <c r="P1241" s="338" t="s">
        <v>487</v>
      </c>
    </row>
    <row r="1242" spans="2:16" x14ac:dyDescent="0.25">
      <c r="B1242" s="336" t="s">
        <v>416</v>
      </c>
      <c r="C1242" s="337">
        <v>40893</v>
      </c>
      <c r="D1242" s="338" t="s">
        <v>6714</v>
      </c>
      <c r="E1242" s="338" t="s">
        <v>6713</v>
      </c>
      <c r="F1242" s="338"/>
      <c r="G1242" s="338">
        <v>178.96</v>
      </c>
      <c r="H1242" s="338" t="s">
        <v>425</v>
      </c>
      <c r="I1242" s="338" t="s">
        <v>411</v>
      </c>
      <c r="J1242" s="339">
        <v>0.46980300000000003</v>
      </c>
      <c r="K1242" s="339">
        <v>5.9104700000000001</v>
      </c>
      <c r="L1242" s="339" t="s">
        <v>409</v>
      </c>
      <c r="M1242" s="339" t="s">
        <v>409</v>
      </c>
      <c r="N1242" s="338" t="s">
        <v>417</v>
      </c>
      <c r="O1242" s="338" t="s">
        <v>409</v>
      </c>
      <c r="P1242" s="338" t="s">
        <v>417</v>
      </c>
    </row>
    <row r="1243" spans="2:16" x14ac:dyDescent="0.25">
      <c r="B1243" s="336" t="s">
        <v>416</v>
      </c>
      <c r="C1243" s="337">
        <v>40892</v>
      </c>
      <c r="D1243" s="338" t="s">
        <v>956</v>
      </c>
      <c r="E1243" s="338" t="s">
        <v>477</v>
      </c>
      <c r="F1243" s="338" t="s">
        <v>6712</v>
      </c>
      <c r="G1243" s="338">
        <v>25</v>
      </c>
      <c r="H1243" s="338" t="s">
        <v>425</v>
      </c>
      <c r="I1243" s="338" t="s">
        <v>411</v>
      </c>
      <c r="J1243" s="339"/>
      <c r="K1243" s="339"/>
      <c r="L1243" s="339"/>
      <c r="M1243" s="339"/>
      <c r="N1243" s="338"/>
      <c r="O1243" s="338" t="s">
        <v>417</v>
      </c>
      <c r="P1243" s="338" t="s">
        <v>417</v>
      </c>
    </row>
    <row r="1244" spans="2:16" x14ac:dyDescent="0.25">
      <c r="B1244" s="336" t="s">
        <v>416</v>
      </c>
      <c r="C1244" s="337">
        <v>40891</v>
      </c>
      <c r="D1244" s="338" t="s">
        <v>6711</v>
      </c>
      <c r="E1244" s="338" t="s">
        <v>5709</v>
      </c>
      <c r="F1244" s="338" t="s">
        <v>6710</v>
      </c>
      <c r="G1244" s="338" t="s">
        <v>413</v>
      </c>
      <c r="H1244" s="338" t="s">
        <v>425</v>
      </c>
      <c r="I1244" s="338" t="s">
        <v>411</v>
      </c>
      <c r="J1244" s="339"/>
      <c r="K1244" s="339"/>
      <c r="L1244" s="339"/>
      <c r="M1244" s="339"/>
      <c r="N1244" s="338"/>
      <c r="O1244" s="338"/>
      <c r="P1244" s="338" t="s">
        <v>410</v>
      </c>
    </row>
    <row r="1245" spans="2:16" x14ac:dyDescent="0.25">
      <c r="B1245" s="336" t="s">
        <v>416</v>
      </c>
      <c r="C1245" s="337">
        <v>40891</v>
      </c>
      <c r="D1245" s="338" t="s">
        <v>6709</v>
      </c>
      <c r="E1245" s="338" t="s">
        <v>6708</v>
      </c>
      <c r="F1245" s="338"/>
      <c r="G1245" s="338" t="s">
        <v>413</v>
      </c>
      <c r="H1245" s="338" t="s">
        <v>412</v>
      </c>
      <c r="I1245" s="338" t="s">
        <v>411</v>
      </c>
      <c r="J1245" s="339"/>
      <c r="K1245" s="339"/>
      <c r="L1245" s="339" t="s">
        <v>409</v>
      </c>
      <c r="M1245" s="339" t="s">
        <v>409</v>
      </c>
      <c r="N1245" s="338" t="s">
        <v>417</v>
      </c>
      <c r="O1245" s="338" t="s">
        <v>409</v>
      </c>
      <c r="P1245" s="338" t="s">
        <v>432</v>
      </c>
    </row>
    <row r="1246" spans="2:16" x14ac:dyDescent="0.25">
      <c r="B1246" s="336" t="s">
        <v>416</v>
      </c>
      <c r="C1246" s="337">
        <v>40891</v>
      </c>
      <c r="D1246" s="338" t="s">
        <v>3133</v>
      </c>
      <c r="E1246" s="338" t="s">
        <v>6665</v>
      </c>
      <c r="F1246" s="338"/>
      <c r="G1246" s="338" t="s">
        <v>413</v>
      </c>
      <c r="H1246" s="338" t="s">
        <v>412</v>
      </c>
      <c r="I1246" s="338" t="s">
        <v>411</v>
      </c>
      <c r="J1246" s="339"/>
      <c r="K1246" s="339"/>
      <c r="L1246" s="339" t="s">
        <v>409</v>
      </c>
      <c r="M1246" s="339" t="s">
        <v>409</v>
      </c>
      <c r="N1246" s="338" t="s">
        <v>417</v>
      </c>
      <c r="O1246" s="338" t="s">
        <v>409</v>
      </c>
      <c r="P1246" s="338" t="s">
        <v>410</v>
      </c>
    </row>
    <row r="1247" spans="2:16" x14ac:dyDescent="0.25">
      <c r="B1247" s="336" t="s">
        <v>416</v>
      </c>
      <c r="C1247" s="337">
        <v>40890</v>
      </c>
      <c r="D1247" s="338" t="s">
        <v>6707</v>
      </c>
      <c r="E1247" s="338" t="s">
        <v>5135</v>
      </c>
      <c r="F1247" s="338"/>
      <c r="G1247" s="338" t="s">
        <v>413</v>
      </c>
      <c r="H1247" s="338" t="s">
        <v>412</v>
      </c>
      <c r="I1247" s="338" t="s">
        <v>411</v>
      </c>
      <c r="J1247" s="339"/>
      <c r="K1247" s="339"/>
      <c r="L1247" s="339" t="s">
        <v>409</v>
      </c>
      <c r="M1247" s="339" t="s">
        <v>409</v>
      </c>
      <c r="N1247" s="338" t="s">
        <v>443</v>
      </c>
      <c r="O1247" s="338" t="s">
        <v>409</v>
      </c>
      <c r="P1247" s="338" t="s">
        <v>417</v>
      </c>
    </row>
    <row r="1248" spans="2:16" x14ac:dyDescent="0.25">
      <c r="B1248" s="336" t="s">
        <v>416</v>
      </c>
      <c r="C1248" s="337">
        <v>40890</v>
      </c>
      <c r="D1248" s="338" t="s">
        <v>6706</v>
      </c>
      <c r="E1248" s="338" t="s">
        <v>6705</v>
      </c>
      <c r="F1248" s="338" t="s">
        <v>4397</v>
      </c>
      <c r="G1248" s="338" t="s">
        <v>413</v>
      </c>
      <c r="H1248" s="338" t="s">
        <v>425</v>
      </c>
      <c r="I1248" s="338" t="s">
        <v>411</v>
      </c>
      <c r="J1248" s="339"/>
      <c r="K1248" s="339"/>
      <c r="L1248" s="339"/>
      <c r="M1248" s="339"/>
      <c r="N1248" s="338" t="s">
        <v>417</v>
      </c>
      <c r="O1248" s="338" t="s">
        <v>443</v>
      </c>
      <c r="P1248" s="338"/>
    </row>
    <row r="1249" spans="2:16" x14ac:dyDescent="0.25">
      <c r="B1249" s="336" t="s">
        <v>459</v>
      </c>
      <c r="C1249" s="337">
        <v>40887</v>
      </c>
      <c r="D1249" s="338" t="s">
        <v>6704</v>
      </c>
      <c r="E1249" s="338" t="s">
        <v>1812</v>
      </c>
      <c r="F1249" s="338"/>
      <c r="G1249" s="338">
        <v>5.4</v>
      </c>
      <c r="H1249" s="338" t="s">
        <v>425</v>
      </c>
      <c r="I1249" s="338" t="s">
        <v>411</v>
      </c>
      <c r="J1249" s="339"/>
      <c r="K1249" s="339"/>
      <c r="L1249" s="339" t="s">
        <v>409</v>
      </c>
      <c r="M1249" s="339" t="s">
        <v>409</v>
      </c>
      <c r="N1249" s="338" t="s">
        <v>417</v>
      </c>
      <c r="O1249" s="338" t="s">
        <v>409</v>
      </c>
      <c r="P1249" s="338" t="s">
        <v>417</v>
      </c>
    </row>
    <row r="1250" spans="2:16" x14ac:dyDescent="0.25">
      <c r="B1250" s="336" t="s">
        <v>416</v>
      </c>
      <c r="C1250" s="337">
        <v>40885</v>
      </c>
      <c r="D1250" s="338" t="s">
        <v>6703</v>
      </c>
      <c r="E1250" s="338" t="s">
        <v>1032</v>
      </c>
      <c r="F1250" s="338"/>
      <c r="G1250" s="338" t="s">
        <v>413</v>
      </c>
      <c r="H1250" s="338" t="s">
        <v>425</v>
      </c>
      <c r="I1250" s="338" t="s">
        <v>411</v>
      </c>
      <c r="J1250" s="339"/>
      <c r="K1250" s="339"/>
      <c r="L1250" s="339" t="s">
        <v>409</v>
      </c>
      <c r="M1250" s="339" t="s">
        <v>409</v>
      </c>
      <c r="N1250" s="338"/>
      <c r="O1250" s="338" t="s">
        <v>409</v>
      </c>
      <c r="P1250" s="338" t="s">
        <v>417</v>
      </c>
    </row>
    <row r="1251" spans="2:16" x14ac:dyDescent="0.25">
      <c r="B1251" s="336" t="s">
        <v>416</v>
      </c>
      <c r="C1251" s="337">
        <v>40885</v>
      </c>
      <c r="D1251" s="338" t="s">
        <v>6702</v>
      </c>
      <c r="E1251" s="338" t="s">
        <v>6701</v>
      </c>
      <c r="F1251" s="338"/>
      <c r="G1251" s="338" t="s">
        <v>413</v>
      </c>
      <c r="H1251" s="338" t="s">
        <v>425</v>
      </c>
      <c r="I1251" s="338" t="s">
        <v>411</v>
      </c>
      <c r="J1251" s="339"/>
      <c r="K1251" s="339"/>
      <c r="L1251" s="339" t="s">
        <v>409</v>
      </c>
      <c r="M1251" s="339" t="s">
        <v>409</v>
      </c>
      <c r="N1251" s="338"/>
      <c r="O1251" s="338" t="s">
        <v>409</v>
      </c>
      <c r="P1251" s="338" t="s">
        <v>417</v>
      </c>
    </row>
    <row r="1252" spans="2:16" x14ac:dyDescent="0.25">
      <c r="B1252" s="336" t="s">
        <v>459</v>
      </c>
      <c r="C1252" s="337">
        <v>40884</v>
      </c>
      <c r="D1252" s="338" t="s">
        <v>6700</v>
      </c>
      <c r="E1252" s="338" t="s">
        <v>6110</v>
      </c>
      <c r="F1252" s="338"/>
      <c r="G1252" s="338">
        <v>38.5</v>
      </c>
      <c r="H1252" s="338" t="s">
        <v>425</v>
      </c>
      <c r="I1252" s="338" t="s">
        <v>411</v>
      </c>
      <c r="J1252" s="339">
        <v>1.22417</v>
      </c>
      <c r="K1252" s="339">
        <v>76.355900000000005</v>
      </c>
      <c r="L1252" s="339" t="s">
        <v>409</v>
      </c>
      <c r="M1252" s="339" t="s">
        <v>409</v>
      </c>
      <c r="N1252" s="338" t="s">
        <v>432</v>
      </c>
      <c r="O1252" s="338" t="s">
        <v>409</v>
      </c>
      <c r="P1252" s="338" t="s">
        <v>417</v>
      </c>
    </row>
    <row r="1253" spans="2:16" x14ac:dyDescent="0.25">
      <c r="B1253" s="336" t="s">
        <v>416</v>
      </c>
      <c r="C1253" s="337">
        <v>40883</v>
      </c>
      <c r="D1253" s="338" t="s">
        <v>6699</v>
      </c>
      <c r="E1253" s="338" t="s">
        <v>6698</v>
      </c>
      <c r="F1253" s="338" t="s">
        <v>6697</v>
      </c>
      <c r="G1253" s="338">
        <v>140</v>
      </c>
      <c r="H1253" s="338" t="s">
        <v>425</v>
      </c>
      <c r="I1253" s="338" t="s">
        <v>411</v>
      </c>
      <c r="J1253" s="339"/>
      <c r="K1253" s="339"/>
      <c r="L1253" s="339"/>
      <c r="M1253" s="339"/>
      <c r="N1253" s="338" t="s">
        <v>410</v>
      </c>
      <c r="O1253" s="338" t="s">
        <v>443</v>
      </c>
      <c r="P1253" s="338" t="s">
        <v>410</v>
      </c>
    </row>
    <row r="1254" spans="2:16" x14ac:dyDescent="0.25">
      <c r="B1254" s="336" t="s">
        <v>416</v>
      </c>
      <c r="C1254" s="337">
        <v>40883</v>
      </c>
      <c r="D1254" s="338" t="s">
        <v>6696</v>
      </c>
      <c r="E1254" s="338" t="s">
        <v>4644</v>
      </c>
      <c r="F1254" s="338" t="s">
        <v>889</v>
      </c>
      <c r="G1254" s="338" t="s">
        <v>413</v>
      </c>
      <c r="H1254" s="338" t="s">
        <v>425</v>
      </c>
      <c r="I1254" s="338" t="s">
        <v>411</v>
      </c>
      <c r="J1254" s="339"/>
      <c r="K1254" s="339"/>
      <c r="L1254" s="339">
        <v>2.9470299999999998</v>
      </c>
      <c r="M1254" s="339">
        <v>13.790100000000001</v>
      </c>
      <c r="N1254" s="338"/>
      <c r="O1254" s="338" t="s">
        <v>410</v>
      </c>
      <c r="P1254" s="338" t="s">
        <v>410</v>
      </c>
    </row>
    <row r="1255" spans="2:16" x14ac:dyDescent="0.25">
      <c r="B1255" s="336" t="s">
        <v>416</v>
      </c>
      <c r="C1255" s="337">
        <v>40883</v>
      </c>
      <c r="D1255" s="338" t="s">
        <v>6695</v>
      </c>
      <c r="E1255" s="338" t="s">
        <v>4644</v>
      </c>
      <c r="F1255" s="338" t="s">
        <v>889</v>
      </c>
      <c r="G1255" s="338" t="s">
        <v>413</v>
      </c>
      <c r="H1255" s="338" t="s">
        <v>412</v>
      </c>
      <c r="I1255" s="338" t="s">
        <v>411</v>
      </c>
      <c r="J1255" s="339"/>
      <c r="K1255" s="339"/>
      <c r="L1255" s="339">
        <v>2.9470299999999998</v>
      </c>
      <c r="M1255" s="339">
        <v>13.790100000000001</v>
      </c>
      <c r="N1255" s="338" t="s">
        <v>885</v>
      </c>
      <c r="O1255" s="338" t="s">
        <v>410</v>
      </c>
      <c r="P1255" s="338" t="s">
        <v>410</v>
      </c>
    </row>
    <row r="1256" spans="2:16" x14ac:dyDescent="0.25">
      <c r="B1256" s="336" t="s">
        <v>416</v>
      </c>
      <c r="C1256" s="337">
        <v>40883</v>
      </c>
      <c r="D1256" s="338" t="s">
        <v>4990</v>
      </c>
      <c r="E1256" s="338" t="s">
        <v>6628</v>
      </c>
      <c r="F1256" s="338"/>
      <c r="G1256" s="338">
        <v>279.81</v>
      </c>
      <c r="H1256" s="338" t="s">
        <v>425</v>
      </c>
      <c r="I1256" s="338" t="s">
        <v>411</v>
      </c>
      <c r="J1256" s="339">
        <v>0.34881099999999998</v>
      </c>
      <c r="K1256" s="339"/>
      <c r="L1256" s="339" t="s">
        <v>409</v>
      </c>
      <c r="M1256" s="339" t="s">
        <v>409</v>
      </c>
      <c r="N1256" s="338" t="s">
        <v>417</v>
      </c>
      <c r="O1256" s="338" t="s">
        <v>409</v>
      </c>
      <c r="P1256" s="338" t="s">
        <v>443</v>
      </c>
    </row>
    <row r="1257" spans="2:16" x14ac:dyDescent="0.25">
      <c r="B1257" s="336" t="s">
        <v>416</v>
      </c>
      <c r="C1257" s="337">
        <v>40882</v>
      </c>
      <c r="D1257" s="338" t="s">
        <v>6694</v>
      </c>
      <c r="E1257" s="338" t="s">
        <v>6693</v>
      </c>
      <c r="F1257" s="338"/>
      <c r="G1257" s="338" t="s">
        <v>413</v>
      </c>
      <c r="H1257" s="338" t="s">
        <v>429</v>
      </c>
      <c r="I1257" s="338" t="s">
        <v>411</v>
      </c>
      <c r="J1257" s="339"/>
      <c r="K1257" s="339"/>
      <c r="L1257" s="339" t="s">
        <v>409</v>
      </c>
      <c r="M1257" s="339" t="s">
        <v>409</v>
      </c>
      <c r="N1257" s="338" t="s">
        <v>417</v>
      </c>
      <c r="O1257" s="338" t="s">
        <v>409</v>
      </c>
      <c r="P1257" s="338" t="s">
        <v>417</v>
      </c>
    </row>
    <row r="1258" spans="2:16" x14ac:dyDescent="0.25">
      <c r="B1258" s="336" t="s">
        <v>416</v>
      </c>
      <c r="C1258" s="337">
        <v>40882</v>
      </c>
      <c r="D1258" s="338" t="s">
        <v>6692</v>
      </c>
      <c r="E1258" s="338" t="s">
        <v>6054</v>
      </c>
      <c r="F1258" s="338" t="s">
        <v>6691</v>
      </c>
      <c r="G1258" s="338" t="s">
        <v>413</v>
      </c>
      <c r="H1258" s="338" t="s">
        <v>425</v>
      </c>
      <c r="I1258" s="338" t="s">
        <v>411</v>
      </c>
      <c r="J1258" s="339"/>
      <c r="K1258" s="339"/>
      <c r="L1258" s="339"/>
      <c r="M1258" s="339"/>
      <c r="N1258" s="338"/>
      <c r="O1258" s="338" t="s">
        <v>410</v>
      </c>
      <c r="P1258" s="338" t="s">
        <v>417</v>
      </c>
    </row>
    <row r="1259" spans="2:16" x14ac:dyDescent="0.25">
      <c r="B1259" s="336" t="s">
        <v>542</v>
      </c>
      <c r="C1259" s="337">
        <v>40882</v>
      </c>
      <c r="D1259" s="338" t="s">
        <v>2034</v>
      </c>
      <c r="E1259" s="338" t="s">
        <v>539</v>
      </c>
      <c r="F1259" s="338"/>
      <c r="G1259" s="338">
        <v>10.5</v>
      </c>
      <c r="H1259" s="338"/>
      <c r="I1259" s="338" t="s">
        <v>411</v>
      </c>
      <c r="J1259" s="339">
        <v>2.5506700000000002</v>
      </c>
      <c r="K1259" s="339">
        <v>15.352600000000001</v>
      </c>
      <c r="L1259" s="339" t="s">
        <v>409</v>
      </c>
      <c r="M1259" s="339" t="s">
        <v>409</v>
      </c>
      <c r="N1259" s="338" t="s">
        <v>417</v>
      </c>
      <c r="O1259" s="338" t="s">
        <v>409</v>
      </c>
      <c r="P1259" s="338" t="s">
        <v>417</v>
      </c>
    </row>
    <row r="1260" spans="2:16" x14ac:dyDescent="0.25">
      <c r="B1260" s="336" t="s">
        <v>416</v>
      </c>
      <c r="C1260" s="337">
        <v>40882</v>
      </c>
      <c r="D1260" s="338" t="s">
        <v>6690</v>
      </c>
      <c r="E1260" s="338" t="s">
        <v>3485</v>
      </c>
      <c r="F1260" s="338" t="s">
        <v>6689</v>
      </c>
      <c r="G1260" s="338" t="s">
        <v>413</v>
      </c>
      <c r="H1260" s="338" t="s">
        <v>425</v>
      </c>
      <c r="I1260" s="338" t="s">
        <v>411</v>
      </c>
      <c r="J1260" s="339"/>
      <c r="K1260" s="339"/>
      <c r="L1260" s="339"/>
      <c r="M1260" s="339"/>
      <c r="N1260" s="338"/>
      <c r="O1260" s="338" t="s">
        <v>487</v>
      </c>
      <c r="P1260" s="338" t="s">
        <v>417</v>
      </c>
    </row>
    <row r="1261" spans="2:16" x14ac:dyDescent="0.25">
      <c r="B1261" s="336" t="s">
        <v>416</v>
      </c>
      <c r="C1261" s="337">
        <v>40879</v>
      </c>
      <c r="D1261" s="338" t="s">
        <v>3382</v>
      </c>
      <c r="E1261" s="338" t="s">
        <v>744</v>
      </c>
      <c r="F1261" s="338"/>
      <c r="G1261" s="338" t="s">
        <v>413</v>
      </c>
      <c r="H1261" s="338" t="s">
        <v>425</v>
      </c>
      <c r="I1261" s="338" t="s">
        <v>411</v>
      </c>
      <c r="J1261" s="339"/>
      <c r="K1261" s="339"/>
      <c r="L1261" s="339" t="s">
        <v>409</v>
      </c>
      <c r="M1261" s="339" t="s">
        <v>409</v>
      </c>
      <c r="N1261" s="338" t="s">
        <v>410</v>
      </c>
      <c r="O1261" s="338" t="s">
        <v>409</v>
      </c>
      <c r="P1261" s="338" t="s">
        <v>443</v>
      </c>
    </row>
    <row r="1262" spans="2:16" x14ac:dyDescent="0.25">
      <c r="B1262" s="336" t="s">
        <v>416</v>
      </c>
      <c r="C1262" s="337">
        <v>40877</v>
      </c>
      <c r="D1262" s="338" t="s">
        <v>6688</v>
      </c>
      <c r="E1262" s="338" t="s">
        <v>6687</v>
      </c>
      <c r="F1262" s="338"/>
      <c r="G1262" s="338" t="s">
        <v>413</v>
      </c>
      <c r="H1262" s="338" t="s">
        <v>412</v>
      </c>
      <c r="I1262" s="338" t="s">
        <v>411</v>
      </c>
      <c r="J1262" s="339"/>
      <c r="K1262" s="339"/>
      <c r="L1262" s="339" t="s">
        <v>409</v>
      </c>
      <c r="M1262" s="339" t="s">
        <v>409</v>
      </c>
      <c r="N1262" s="338" t="s">
        <v>417</v>
      </c>
      <c r="O1262" s="338" t="s">
        <v>409</v>
      </c>
      <c r="P1262" s="338" t="s">
        <v>417</v>
      </c>
    </row>
    <row r="1263" spans="2:16" x14ac:dyDescent="0.25">
      <c r="B1263" s="336" t="s">
        <v>416</v>
      </c>
      <c r="C1263" s="337">
        <v>40877</v>
      </c>
      <c r="D1263" s="338" t="s">
        <v>6686</v>
      </c>
      <c r="E1263" s="338" t="s">
        <v>6685</v>
      </c>
      <c r="F1263" s="338"/>
      <c r="G1263" s="338">
        <v>55.2</v>
      </c>
      <c r="H1263" s="338" t="s">
        <v>425</v>
      </c>
      <c r="I1263" s="338" t="s">
        <v>411</v>
      </c>
      <c r="J1263" s="339"/>
      <c r="K1263" s="339"/>
      <c r="L1263" s="339" t="s">
        <v>409</v>
      </c>
      <c r="M1263" s="339" t="s">
        <v>409</v>
      </c>
      <c r="N1263" s="338" t="s">
        <v>417</v>
      </c>
      <c r="O1263" s="338" t="s">
        <v>409</v>
      </c>
      <c r="P1263" s="338" t="s">
        <v>482</v>
      </c>
    </row>
    <row r="1264" spans="2:16" x14ac:dyDescent="0.25">
      <c r="B1264" s="336" t="s">
        <v>416</v>
      </c>
      <c r="C1264" s="337">
        <v>40877</v>
      </c>
      <c r="D1264" s="338" t="s">
        <v>1142</v>
      </c>
      <c r="E1264" s="338" t="s">
        <v>6684</v>
      </c>
      <c r="F1264" s="338" t="s">
        <v>1141</v>
      </c>
      <c r="G1264" s="338">
        <v>3.2</v>
      </c>
      <c r="H1264" s="338" t="s">
        <v>418</v>
      </c>
      <c r="I1264" s="338" t="s">
        <v>411</v>
      </c>
      <c r="J1264" s="339"/>
      <c r="K1264" s="339"/>
      <c r="L1264" s="339">
        <v>0.37331999999999999</v>
      </c>
      <c r="M1264" s="339">
        <v>4.8490200000000003</v>
      </c>
      <c r="N1264" s="338"/>
      <c r="O1264" s="338" t="s">
        <v>417</v>
      </c>
      <c r="P1264" s="338" t="s">
        <v>443</v>
      </c>
    </row>
    <row r="1265" spans="2:16" x14ac:dyDescent="0.25">
      <c r="B1265" s="336" t="s">
        <v>416</v>
      </c>
      <c r="C1265" s="337">
        <v>40877</v>
      </c>
      <c r="D1265" s="338" t="s">
        <v>4119</v>
      </c>
      <c r="E1265" s="338" t="s">
        <v>6211</v>
      </c>
      <c r="F1265" s="338" t="s">
        <v>4118</v>
      </c>
      <c r="G1265" s="338">
        <v>12.66</v>
      </c>
      <c r="H1265" s="338" t="s">
        <v>425</v>
      </c>
      <c r="I1265" s="338" t="s">
        <v>411</v>
      </c>
      <c r="J1265" s="339"/>
      <c r="K1265" s="339"/>
      <c r="L1265" s="339"/>
      <c r="M1265" s="339"/>
      <c r="N1265" s="338" t="s">
        <v>417</v>
      </c>
      <c r="O1265" s="338" t="s">
        <v>443</v>
      </c>
      <c r="P1265" s="338" t="s">
        <v>417</v>
      </c>
    </row>
    <row r="1266" spans="2:16" x14ac:dyDescent="0.25">
      <c r="B1266" s="336" t="s">
        <v>416</v>
      </c>
      <c r="C1266" s="337">
        <v>40877</v>
      </c>
      <c r="D1266" s="338" t="s">
        <v>6683</v>
      </c>
      <c r="E1266" s="338" t="s">
        <v>1322</v>
      </c>
      <c r="F1266" s="338"/>
      <c r="G1266" s="338" t="s">
        <v>413</v>
      </c>
      <c r="H1266" s="338" t="s">
        <v>412</v>
      </c>
      <c r="I1266" s="338" t="s">
        <v>411</v>
      </c>
      <c r="J1266" s="339"/>
      <c r="K1266" s="339"/>
      <c r="L1266" s="339" t="s">
        <v>409</v>
      </c>
      <c r="M1266" s="339" t="s">
        <v>409</v>
      </c>
      <c r="N1266" s="338" t="s">
        <v>417</v>
      </c>
      <c r="O1266" s="338" t="s">
        <v>409</v>
      </c>
      <c r="P1266" s="338" t="s">
        <v>417</v>
      </c>
    </row>
    <row r="1267" spans="2:16" x14ac:dyDescent="0.25">
      <c r="B1267" s="336" t="s">
        <v>416</v>
      </c>
      <c r="C1267" s="337">
        <v>40876</v>
      </c>
      <c r="D1267" s="338" t="s">
        <v>6682</v>
      </c>
      <c r="E1267" s="338" t="s">
        <v>547</v>
      </c>
      <c r="F1267" s="338"/>
      <c r="G1267" s="338" t="s">
        <v>413</v>
      </c>
      <c r="H1267" s="338" t="s">
        <v>412</v>
      </c>
      <c r="I1267" s="338" t="s">
        <v>411</v>
      </c>
      <c r="J1267" s="339"/>
      <c r="K1267" s="339"/>
      <c r="L1267" s="339" t="s">
        <v>409</v>
      </c>
      <c r="M1267" s="339" t="s">
        <v>409</v>
      </c>
      <c r="N1267" s="338" t="s">
        <v>417</v>
      </c>
      <c r="O1267" s="338" t="s">
        <v>409</v>
      </c>
      <c r="P1267" s="338" t="s">
        <v>417</v>
      </c>
    </row>
    <row r="1268" spans="2:16" x14ac:dyDescent="0.25">
      <c r="B1268" s="336" t="s">
        <v>416</v>
      </c>
      <c r="C1268" s="337">
        <v>40871</v>
      </c>
      <c r="D1268" s="338" t="s">
        <v>6681</v>
      </c>
      <c r="E1268" s="338" t="s">
        <v>6680</v>
      </c>
      <c r="F1268" s="338" t="s">
        <v>6679</v>
      </c>
      <c r="G1268" s="338" t="s">
        <v>413</v>
      </c>
      <c r="H1268" s="338" t="s">
        <v>412</v>
      </c>
      <c r="I1268" s="338" t="s">
        <v>411</v>
      </c>
      <c r="J1268" s="339"/>
      <c r="K1268" s="339"/>
      <c r="L1268" s="339"/>
      <c r="M1268" s="339"/>
      <c r="N1268" s="338"/>
      <c r="O1268" s="338" t="s">
        <v>417</v>
      </c>
      <c r="P1268" s="338" t="s">
        <v>410</v>
      </c>
    </row>
    <row r="1269" spans="2:16" x14ac:dyDescent="0.25">
      <c r="B1269" s="336" t="s">
        <v>459</v>
      </c>
      <c r="C1269" s="337">
        <v>40870</v>
      </c>
      <c r="D1269" s="338" t="s">
        <v>6678</v>
      </c>
      <c r="E1269" s="338" t="s">
        <v>6677</v>
      </c>
      <c r="F1269" s="338" t="s">
        <v>2944</v>
      </c>
      <c r="G1269" s="338" t="s">
        <v>413</v>
      </c>
      <c r="H1269" s="338" t="s">
        <v>412</v>
      </c>
      <c r="I1269" s="338" t="s">
        <v>411</v>
      </c>
      <c r="J1269" s="339"/>
      <c r="K1269" s="339"/>
      <c r="L1269" s="339"/>
      <c r="M1269" s="339"/>
      <c r="N1269" s="338" t="s">
        <v>417</v>
      </c>
      <c r="O1269" s="338" t="s">
        <v>543</v>
      </c>
      <c r="P1269" s="338" t="s">
        <v>417</v>
      </c>
    </row>
    <row r="1270" spans="2:16" x14ac:dyDescent="0.25">
      <c r="B1270" s="336" t="s">
        <v>416</v>
      </c>
      <c r="C1270" s="337">
        <v>40869</v>
      </c>
      <c r="D1270" s="338" t="s">
        <v>6676</v>
      </c>
      <c r="E1270" s="338" t="s">
        <v>6675</v>
      </c>
      <c r="F1270" s="338"/>
      <c r="G1270" s="338" t="s">
        <v>413</v>
      </c>
      <c r="H1270" s="338" t="s">
        <v>425</v>
      </c>
      <c r="I1270" s="338" t="s">
        <v>411</v>
      </c>
      <c r="J1270" s="339"/>
      <c r="K1270" s="339"/>
      <c r="L1270" s="339" t="s">
        <v>409</v>
      </c>
      <c r="M1270" s="339" t="s">
        <v>409</v>
      </c>
      <c r="N1270" s="338" t="s">
        <v>417</v>
      </c>
      <c r="O1270" s="338" t="s">
        <v>409</v>
      </c>
      <c r="P1270" s="338"/>
    </row>
    <row r="1271" spans="2:16" x14ac:dyDescent="0.25">
      <c r="B1271" s="336" t="s">
        <v>416</v>
      </c>
      <c r="C1271" s="337">
        <v>40865</v>
      </c>
      <c r="D1271" s="338" t="s">
        <v>6674</v>
      </c>
      <c r="E1271" s="338" t="s">
        <v>6673</v>
      </c>
      <c r="F1271" s="338"/>
      <c r="G1271" s="338">
        <v>52</v>
      </c>
      <c r="H1271" s="338" t="s">
        <v>425</v>
      </c>
      <c r="I1271" s="338" t="s">
        <v>411</v>
      </c>
      <c r="J1271" s="339"/>
      <c r="K1271" s="339"/>
      <c r="L1271" s="339" t="s">
        <v>409</v>
      </c>
      <c r="M1271" s="339" t="s">
        <v>409</v>
      </c>
      <c r="N1271" s="338" t="s">
        <v>417</v>
      </c>
      <c r="O1271" s="338" t="s">
        <v>409</v>
      </c>
      <c r="P1271" s="338" t="s">
        <v>443</v>
      </c>
    </row>
    <row r="1272" spans="2:16" x14ac:dyDescent="0.25">
      <c r="B1272" s="336" t="s">
        <v>416</v>
      </c>
      <c r="C1272" s="337">
        <v>40865</v>
      </c>
      <c r="D1272" s="338" t="s">
        <v>6672</v>
      </c>
      <c r="E1272" s="338" t="s">
        <v>514</v>
      </c>
      <c r="F1272" s="338"/>
      <c r="G1272" s="338" t="s">
        <v>413</v>
      </c>
      <c r="H1272" s="338" t="s">
        <v>412</v>
      </c>
      <c r="I1272" s="338" t="s">
        <v>411</v>
      </c>
      <c r="J1272" s="339"/>
      <c r="K1272" s="339"/>
      <c r="L1272" s="339" t="s">
        <v>409</v>
      </c>
      <c r="M1272" s="339" t="s">
        <v>409</v>
      </c>
      <c r="N1272" s="338" t="s">
        <v>417</v>
      </c>
      <c r="O1272" s="338" t="s">
        <v>409</v>
      </c>
      <c r="P1272" s="338"/>
    </row>
    <row r="1273" spans="2:16" x14ac:dyDescent="0.25">
      <c r="B1273" s="336" t="s">
        <v>416</v>
      </c>
      <c r="C1273" s="337">
        <v>40864</v>
      </c>
      <c r="D1273" s="338" t="s">
        <v>6671</v>
      </c>
      <c r="E1273" s="338" t="s">
        <v>6054</v>
      </c>
      <c r="F1273" s="338" t="s">
        <v>6670</v>
      </c>
      <c r="G1273" s="338" t="s">
        <v>413</v>
      </c>
      <c r="H1273" s="338" t="s">
        <v>425</v>
      </c>
      <c r="I1273" s="338" t="s">
        <v>411</v>
      </c>
      <c r="J1273" s="339"/>
      <c r="K1273" s="339"/>
      <c r="L1273" s="339"/>
      <c r="M1273" s="339"/>
      <c r="N1273" s="338"/>
      <c r="O1273" s="338" t="s">
        <v>410</v>
      </c>
      <c r="P1273" s="338" t="s">
        <v>417</v>
      </c>
    </row>
    <row r="1274" spans="2:16" x14ac:dyDescent="0.25">
      <c r="B1274" s="336" t="s">
        <v>416</v>
      </c>
      <c r="C1274" s="337">
        <v>40864</v>
      </c>
      <c r="D1274" s="338" t="s">
        <v>6669</v>
      </c>
      <c r="E1274" s="338" t="s">
        <v>1322</v>
      </c>
      <c r="F1274" s="338"/>
      <c r="G1274" s="338" t="s">
        <v>413</v>
      </c>
      <c r="H1274" s="338" t="s">
        <v>412</v>
      </c>
      <c r="I1274" s="338" t="s">
        <v>411</v>
      </c>
      <c r="J1274" s="339"/>
      <c r="K1274" s="339"/>
      <c r="L1274" s="339" t="s">
        <v>409</v>
      </c>
      <c r="M1274" s="339" t="s">
        <v>409</v>
      </c>
      <c r="N1274" s="338" t="s">
        <v>417</v>
      </c>
      <c r="O1274" s="338" t="s">
        <v>409</v>
      </c>
      <c r="P1274" s="338" t="s">
        <v>417</v>
      </c>
    </row>
    <row r="1275" spans="2:16" x14ac:dyDescent="0.25">
      <c r="B1275" s="336" t="s">
        <v>1441</v>
      </c>
      <c r="C1275" s="337">
        <v>40864</v>
      </c>
      <c r="D1275" s="338" t="s">
        <v>6668</v>
      </c>
      <c r="E1275" s="338" t="s">
        <v>6667</v>
      </c>
      <c r="F1275" s="338"/>
      <c r="G1275" s="338" t="s">
        <v>413</v>
      </c>
      <c r="H1275" s="338" t="s">
        <v>412</v>
      </c>
      <c r="I1275" s="338" t="s">
        <v>411</v>
      </c>
      <c r="J1275" s="339"/>
      <c r="K1275" s="339"/>
      <c r="L1275" s="339" t="s">
        <v>409</v>
      </c>
      <c r="M1275" s="339" t="s">
        <v>409</v>
      </c>
      <c r="N1275" s="338" t="s">
        <v>417</v>
      </c>
      <c r="O1275" s="338" t="s">
        <v>409</v>
      </c>
      <c r="P1275" s="338" t="s">
        <v>417</v>
      </c>
    </row>
    <row r="1276" spans="2:16" x14ac:dyDescent="0.25">
      <c r="B1276" s="336" t="s">
        <v>416</v>
      </c>
      <c r="C1276" s="337">
        <v>40864</v>
      </c>
      <c r="D1276" s="338" t="s">
        <v>6666</v>
      </c>
      <c r="E1276" s="338" t="s">
        <v>5932</v>
      </c>
      <c r="F1276" s="338"/>
      <c r="G1276" s="338" t="s">
        <v>413</v>
      </c>
      <c r="H1276" s="338" t="s">
        <v>425</v>
      </c>
      <c r="I1276" s="338" t="s">
        <v>411</v>
      </c>
      <c r="J1276" s="339"/>
      <c r="K1276" s="339"/>
      <c r="L1276" s="339" t="s">
        <v>409</v>
      </c>
      <c r="M1276" s="339" t="s">
        <v>409</v>
      </c>
      <c r="N1276" s="338"/>
      <c r="O1276" s="338" t="s">
        <v>409</v>
      </c>
      <c r="P1276" s="338" t="s">
        <v>417</v>
      </c>
    </row>
    <row r="1277" spans="2:16" x14ac:dyDescent="0.25">
      <c r="B1277" s="336" t="s">
        <v>416</v>
      </c>
      <c r="C1277" s="337">
        <v>40864</v>
      </c>
      <c r="D1277" s="338" t="s">
        <v>3134</v>
      </c>
      <c r="E1277" s="338" t="s">
        <v>6665</v>
      </c>
      <c r="F1277" s="338" t="s">
        <v>3133</v>
      </c>
      <c r="G1277" s="338">
        <v>87.5</v>
      </c>
      <c r="H1277" s="338" t="s">
        <v>425</v>
      </c>
      <c r="I1277" s="338" t="s">
        <v>411</v>
      </c>
      <c r="J1277" s="339"/>
      <c r="K1277" s="339"/>
      <c r="L1277" s="339"/>
      <c r="M1277" s="339"/>
      <c r="N1277" s="338" t="s">
        <v>410</v>
      </c>
      <c r="O1277" s="338" t="s">
        <v>417</v>
      </c>
      <c r="P1277" s="338" t="s">
        <v>410</v>
      </c>
    </row>
    <row r="1278" spans="2:16" x14ac:dyDescent="0.25">
      <c r="B1278" s="336" t="s">
        <v>416</v>
      </c>
      <c r="C1278" s="337">
        <v>40864</v>
      </c>
      <c r="D1278" s="338" t="s">
        <v>4119</v>
      </c>
      <c r="E1278" s="338" t="s">
        <v>6211</v>
      </c>
      <c r="F1278" s="338"/>
      <c r="G1278" s="338">
        <v>28.5</v>
      </c>
      <c r="H1278" s="338" t="s">
        <v>425</v>
      </c>
      <c r="I1278" s="338" t="s">
        <v>411</v>
      </c>
      <c r="J1278" s="339"/>
      <c r="K1278" s="339"/>
      <c r="L1278" s="339" t="s">
        <v>409</v>
      </c>
      <c r="M1278" s="339" t="s">
        <v>409</v>
      </c>
      <c r="N1278" s="338" t="s">
        <v>417</v>
      </c>
      <c r="O1278" s="338" t="s">
        <v>409</v>
      </c>
      <c r="P1278" s="338" t="s">
        <v>417</v>
      </c>
    </row>
    <row r="1279" spans="2:16" x14ac:dyDescent="0.25">
      <c r="B1279" s="336" t="s">
        <v>416</v>
      </c>
      <c r="C1279" s="337">
        <v>40863</v>
      </c>
      <c r="D1279" s="338" t="s">
        <v>945</v>
      </c>
      <c r="E1279" s="338" t="s">
        <v>6664</v>
      </c>
      <c r="F1279" s="338" t="s">
        <v>6663</v>
      </c>
      <c r="G1279" s="338" t="s">
        <v>413</v>
      </c>
      <c r="H1279" s="338" t="s">
        <v>425</v>
      </c>
      <c r="I1279" s="338" t="s">
        <v>411</v>
      </c>
      <c r="J1279" s="339"/>
      <c r="K1279" s="339"/>
      <c r="L1279" s="339"/>
      <c r="M1279" s="339"/>
      <c r="N1279" s="338"/>
      <c r="O1279" s="338" t="s">
        <v>417</v>
      </c>
      <c r="P1279" s="338" t="s">
        <v>417</v>
      </c>
    </row>
    <row r="1280" spans="2:16" x14ac:dyDescent="0.25">
      <c r="B1280" s="336" t="s">
        <v>416</v>
      </c>
      <c r="C1280" s="337">
        <v>40863</v>
      </c>
      <c r="D1280" s="338" t="s">
        <v>6662</v>
      </c>
      <c r="E1280" s="338" t="s">
        <v>3347</v>
      </c>
      <c r="F1280" s="338"/>
      <c r="G1280" s="338" t="s">
        <v>413</v>
      </c>
      <c r="H1280" s="338" t="s">
        <v>425</v>
      </c>
      <c r="I1280" s="338" t="s">
        <v>411</v>
      </c>
      <c r="J1280" s="339"/>
      <c r="K1280" s="339"/>
      <c r="L1280" s="339" t="s">
        <v>409</v>
      </c>
      <c r="M1280" s="339" t="s">
        <v>409</v>
      </c>
      <c r="N1280" s="338"/>
      <c r="O1280" s="338" t="s">
        <v>409</v>
      </c>
      <c r="P1280" s="338" t="s">
        <v>417</v>
      </c>
    </row>
    <row r="1281" spans="2:16" x14ac:dyDescent="0.25">
      <c r="B1281" s="336" t="s">
        <v>416</v>
      </c>
      <c r="C1281" s="337">
        <v>40862</v>
      </c>
      <c r="D1281" s="338" t="s">
        <v>6661</v>
      </c>
      <c r="E1281" s="338" t="s">
        <v>6660</v>
      </c>
      <c r="F1281" s="338" t="s">
        <v>6659</v>
      </c>
      <c r="G1281" s="338">
        <v>0.6</v>
      </c>
      <c r="H1281" s="338" t="s">
        <v>425</v>
      </c>
      <c r="I1281" s="338" t="s">
        <v>411</v>
      </c>
      <c r="J1281" s="339"/>
      <c r="K1281" s="339"/>
      <c r="L1281" s="339"/>
      <c r="M1281" s="339"/>
      <c r="N1281" s="338"/>
      <c r="O1281" s="338" t="s">
        <v>417</v>
      </c>
      <c r="P1281" s="338" t="s">
        <v>417</v>
      </c>
    </row>
    <row r="1282" spans="2:16" x14ac:dyDescent="0.25">
      <c r="B1282" s="336" t="s">
        <v>416</v>
      </c>
      <c r="C1282" s="337">
        <v>40858</v>
      </c>
      <c r="D1282" s="338" t="s">
        <v>6658</v>
      </c>
      <c r="E1282" s="338" t="s">
        <v>6657</v>
      </c>
      <c r="F1282" s="338" t="s">
        <v>742</v>
      </c>
      <c r="G1282" s="338">
        <v>22.2</v>
      </c>
      <c r="H1282" s="338" t="s">
        <v>425</v>
      </c>
      <c r="I1282" s="338" t="s">
        <v>411</v>
      </c>
      <c r="J1282" s="339"/>
      <c r="K1282" s="339"/>
      <c r="L1282" s="339">
        <v>3.6272700000000002</v>
      </c>
      <c r="M1282" s="339">
        <v>19.650700000000001</v>
      </c>
      <c r="N1282" s="338" t="s">
        <v>417</v>
      </c>
      <c r="O1282" s="338" t="s">
        <v>417</v>
      </c>
      <c r="P1282" s="338"/>
    </row>
    <row r="1283" spans="2:16" x14ac:dyDescent="0.25">
      <c r="B1283" s="336" t="s">
        <v>416</v>
      </c>
      <c r="C1283" s="337">
        <v>40857</v>
      </c>
      <c r="D1283" s="338" t="s">
        <v>6656</v>
      </c>
      <c r="E1283" s="338" t="s">
        <v>1217</v>
      </c>
      <c r="F1283" s="338"/>
      <c r="G1283" s="338" t="s">
        <v>413</v>
      </c>
      <c r="H1283" s="338" t="s">
        <v>412</v>
      </c>
      <c r="I1283" s="338" t="s">
        <v>411</v>
      </c>
      <c r="J1283" s="339"/>
      <c r="K1283" s="339"/>
      <c r="L1283" s="339" t="s">
        <v>409</v>
      </c>
      <c r="M1283" s="339" t="s">
        <v>409</v>
      </c>
      <c r="N1283" s="338" t="s">
        <v>410</v>
      </c>
      <c r="O1283" s="338" t="s">
        <v>409</v>
      </c>
      <c r="P1283" s="338" t="s">
        <v>410</v>
      </c>
    </row>
    <row r="1284" spans="2:16" x14ac:dyDescent="0.25">
      <c r="B1284" s="336" t="s">
        <v>416</v>
      </c>
      <c r="C1284" s="337">
        <v>40857</v>
      </c>
      <c r="D1284" s="338" t="s">
        <v>6655</v>
      </c>
      <c r="E1284" s="338" t="s">
        <v>1079</v>
      </c>
      <c r="F1284" s="338"/>
      <c r="G1284" s="338">
        <v>30</v>
      </c>
      <c r="H1284" s="338" t="s">
        <v>425</v>
      </c>
      <c r="I1284" s="338" t="s">
        <v>411</v>
      </c>
      <c r="J1284" s="339"/>
      <c r="K1284" s="339"/>
      <c r="L1284" s="339" t="s">
        <v>409</v>
      </c>
      <c r="M1284" s="339" t="s">
        <v>409</v>
      </c>
      <c r="N1284" s="338" t="s">
        <v>410</v>
      </c>
      <c r="O1284" s="338" t="s">
        <v>409</v>
      </c>
      <c r="P1284" s="338" t="s">
        <v>417</v>
      </c>
    </row>
    <row r="1285" spans="2:16" x14ac:dyDescent="0.25">
      <c r="B1285" s="336" t="s">
        <v>416</v>
      </c>
      <c r="C1285" s="337">
        <v>40857</v>
      </c>
      <c r="D1285" s="338" t="s">
        <v>6654</v>
      </c>
      <c r="E1285" s="338" t="s">
        <v>423</v>
      </c>
      <c r="F1285" s="338"/>
      <c r="G1285" s="338" t="s">
        <v>413</v>
      </c>
      <c r="H1285" s="338" t="s">
        <v>425</v>
      </c>
      <c r="I1285" s="338" t="s">
        <v>411</v>
      </c>
      <c r="J1285" s="339"/>
      <c r="K1285" s="339"/>
      <c r="L1285" s="339" t="s">
        <v>409</v>
      </c>
      <c r="M1285" s="339" t="s">
        <v>409</v>
      </c>
      <c r="N1285" s="338" t="s">
        <v>417</v>
      </c>
      <c r="O1285" s="338" t="s">
        <v>409</v>
      </c>
      <c r="P1285" s="338"/>
    </row>
    <row r="1286" spans="2:16" x14ac:dyDescent="0.25">
      <c r="B1286" s="336" t="s">
        <v>416</v>
      </c>
      <c r="C1286" s="337">
        <v>40856</v>
      </c>
      <c r="D1286" s="338" t="s">
        <v>6653</v>
      </c>
      <c r="E1286" s="338" t="s">
        <v>2795</v>
      </c>
      <c r="F1286" s="338"/>
      <c r="G1286" s="338">
        <v>81.5</v>
      </c>
      <c r="H1286" s="338" t="s">
        <v>425</v>
      </c>
      <c r="I1286" s="338" t="s">
        <v>411</v>
      </c>
      <c r="J1286" s="339"/>
      <c r="K1286" s="339"/>
      <c r="L1286" s="339" t="s">
        <v>409</v>
      </c>
      <c r="M1286" s="339" t="s">
        <v>409</v>
      </c>
      <c r="N1286" s="338" t="s">
        <v>410</v>
      </c>
      <c r="O1286" s="338" t="s">
        <v>409</v>
      </c>
      <c r="P1286" s="338" t="s">
        <v>443</v>
      </c>
    </row>
    <row r="1287" spans="2:16" x14ac:dyDescent="0.25">
      <c r="B1287" s="336" t="s">
        <v>416</v>
      </c>
      <c r="C1287" s="337">
        <v>40856</v>
      </c>
      <c r="D1287" s="338" t="s">
        <v>495</v>
      </c>
      <c r="E1287" s="338" t="s">
        <v>732</v>
      </c>
      <c r="F1287" s="338" t="s">
        <v>5969</v>
      </c>
      <c r="G1287" s="338" t="s">
        <v>413</v>
      </c>
      <c r="H1287" s="338" t="s">
        <v>425</v>
      </c>
      <c r="I1287" s="338" t="s">
        <v>411</v>
      </c>
      <c r="J1287" s="339"/>
      <c r="K1287" s="339"/>
      <c r="L1287" s="339">
        <v>6.6627799999999997</v>
      </c>
      <c r="M1287" s="339">
        <v>7.82517</v>
      </c>
      <c r="N1287" s="338" t="s">
        <v>417</v>
      </c>
      <c r="O1287" s="338" t="s">
        <v>443</v>
      </c>
      <c r="P1287" s="338" t="s">
        <v>443</v>
      </c>
    </row>
    <row r="1288" spans="2:16" x14ac:dyDescent="0.25">
      <c r="B1288" s="336" t="s">
        <v>459</v>
      </c>
      <c r="C1288" s="337">
        <v>40856</v>
      </c>
      <c r="D1288" s="338" t="s">
        <v>5703</v>
      </c>
      <c r="E1288" s="338" t="s">
        <v>6652</v>
      </c>
      <c r="F1288" s="338"/>
      <c r="G1288" s="338">
        <v>36.6</v>
      </c>
      <c r="H1288" s="338" t="s">
        <v>425</v>
      </c>
      <c r="I1288" s="338" t="s">
        <v>411</v>
      </c>
      <c r="J1288" s="339"/>
      <c r="K1288" s="339"/>
      <c r="L1288" s="339" t="s">
        <v>409</v>
      </c>
      <c r="M1288" s="339" t="s">
        <v>409</v>
      </c>
      <c r="N1288" s="338" t="s">
        <v>432</v>
      </c>
      <c r="O1288" s="338" t="s">
        <v>409</v>
      </c>
      <c r="P1288" s="338"/>
    </row>
    <row r="1289" spans="2:16" x14ac:dyDescent="0.25">
      <c r="B1289" s="336" t="s">
        <v>416</v>
      </c>
      <c r="C1289" s="337">
        <v>40856</v>
      </c>
      <c r="D1289" s="338" t="s">
        <v>6651</v>
      </c>
      <c r="E1289" s="338" t="s">
        <v>6650</v>
      </c>
      <c r="F1289" s="338" t="s">
        <v>6649</v>
      </c>
      <c r="G1289" s="338" t="s">
        <v>413</v>
      </c>
      <c r="H1289" s="338" t="s">
        <v>425</v>
      </c>
      <c r="I1289" s="338" t="s">
        <v>411</v>
      </c>
      <c r="J1289" s="339"/>
      <c r="K1289" s="339"/>
      <c r="L1289" s="339"/>
      <c r="M1289" s="339"/>
      <c r="N1289" s="338"/>
      <c r="O1289" s="338" t="s">
        <v>410</v>
      </c>
      <c r="P1289" s="338" t="s">
        <v>487</v>
      </c>
    </row>
    <row r="1290" spans="2:16" x14ac:dyDescent="0.25">
      <c r="B1290" s="336" t="s">
        <v>416</v>
      </c>
      <c r="C1290" s="337">
        <v>40855</v>
      </c>
      <c r="D1290" s="338" t="s">
        <v>2725</v>
      </c>
      <c r="E1290" s="338" t="s">
        <v>916</v>
      </c>
      <c r="F1290" s="338"/>
      <c r="G1290" s="338">
        <v>131.9</v>
      </c>
      <c r="H1290" s="338" t="s">
        <v>425</v>
      </c>
      <c r="I1290" s="338" t="s">
        <v>411</v>
      </c>
      <c r="J1290" s="339">
        <v>0.30965799999999999</v>
      </c>
      <c r="K1290" s="339">
        <v>6.5228599999999997</v>
      </c>
      <c r="L1290" s="339" t="s">
        <v>409</v>
      </c>
      <c r="M1290" s="339" t="s">
        <v>409</v>
      </c>
      <c r="N1290" s="338" t="s">
        <v>417</v>
      </c>
      <c r="O1290" s="338" t="s">
        <v>409</v>
      </c>
      <c r="P1290" s="338" t="s">
        <v>417</v>
      </c>
    </row>
    <row r="1291" spans="2:16" x14ac:dyDescent="0.25">
      <c r="B1291" s="336" t="s">
        <v>416</v>
      </c>
      <c r="C1291" s="337">
        <v>40854</v>
      </c>
      <c r="D1291" s="338" t="s">
        <v>6648</v>
      </c>
      <c r="E1291" s="338" t="s">
        <v>1812</v>
      </c>
      <c r="F1291" s="338" t="s">
        <v>6647</v>
      </c>
      <c r="G1291" s="338">
        <v>1303.1600000000001</v>
      </c>
      <c r="H1291" s="338" t="s">
        <v>425</v>
      </c>
      <c r="I1291" s="338" t="s">
        <v>411</v>
      </c>
      <c r="J1291" s="339"/>
      <c r="K1291" s="339"/>
      <c r="L1291" s="339"/>
      <c r="M1291" s="339"/>
      <c r="N1291" s="338"/>
      <c r="O1291" s="338" t="s">
        <v>417</v>
      </c>
      <c r="P1291" s="338" t="s">
        <v>417</v>
      </c>
    </row>
    <row r="1292" spans="2:16" x14ac:dyDescent="0.25">
      <c r="B1292" s="336" t="s">
        <v>416</v>
      </c>
      <c r="C1292" s="337">
        <v>40854</v>
      </c>
      <c r="D1292" s="338" t="s">
        <v>2053</v>
      </c>
      <c r="E1292" s="338" t="s">
        <v>829</v>
      </c>
      <c r="F1292" s="338" t="s">
        <v>1959</v>
      </c>
      <c r="G1292" s="338">
        <v>775</v>
      </c>
      <c r="H1292" s="338" t="s">
        <v>425</v>
      </c>
      <c r="I1292" s="338" t="s">
        <v>411</v>
      </c>
      <c r="J1292" s="339"/>
      <c r="K1292" s="339"/>
      <c r="L1292" s="339"/>
      <c r="M1292" s="339"/>
      <c r="N1292" s="338" t="s">
        <v>417</v>
      </c>
      <c r="O1292" s="338" t="s">
        <v>443</v>
      </c>
      <c r="P1292" s="338" t="s">
        <v>443</v>
      </c>
    </row>
    <row r="1293" spans="2:16" x14ac:dyDescent="0.25">
      <c r="B1293" s="336" t="s">
        <v>416</v>
      </c>
      <c r="C1293" s="337">
        <v>40854</v>
      </c>
      <c r="D1293" s="338" t="s">
        <v>6646</v>
      </c>
      <c r="E1293" s="338" t="s">
        <v>3228</v>
      </c>
      <c r="F1293" s="338"/>
      <c r="G1293" s="338" t="s">
        <v>413</v>
      </c>
      <c r="H1293" s="338" t="s">
        <v>425</v>
      </c>
      <c r="I1293" s="338" t="s">
        <v>411</v>
      </c>
      <c r="J1293" s="339"/>
      <c r="K1293" s="339"/>
      <c r="L1293" s="339" t="s">
        <v>409</v>
      </c>
      <c r="M1293" s="339" t="s">
        <v>409</v>
      </c>
      <c r="N1293" s="338"/>
      <c r="O1293" s="338" t="s">
        <v>409</v>
      </c>
      <c r="P1293" s="338" t="s">
        <v>417</v>
      </c>
    </row>
    <row r="1294" spans="2:16" x14ac:dyDescent="0.25">
      <c r="B1294" s="336" t="s">
        <v>416</v>
      </c>
      <c r="C1294" s="337">
        <v>40854</v>
      </c>
      <c r="D1294" s="338" t="s">
        <v>6645</v>
      </c>
      <c r="E1294" s="338" t="s">
        <v>5214</v>
      </c>
      <c r="F1294" s="338"/>
      <c r="G1294" s="338" t="s">
        <v>413</v>
      </c>
      <c r="H1294" s="338" t="s">
        <v>425</v>
      </c>
      <c r="I1294" s="338" t="s">
        <v>411</v>
      </c>
      <c r="J1294" s="339"/>
      <c r="K1294" s="339"/>
      <c r="L1294" s="339" t="s">
        <v>409</v>
      </c>
      <c r="M1294" s="339" t="s">
        <v>409</v>
      </c>
      <c r="N1294" s="338"/>
      <c r="O1294" s="338" t="s">
        <v>409</v>
      </c>
      <c r="P1294" s="338" t="s">
        <v>417</v>
      </c>
    </row>
    <row r="1295" spans="2:16" x14ac:dyDescent="0.25">
      <c r="B1295" s="336" t="s">
        <v>416</v>
      </c>
      <c r="C1295" s="337">
        <v>40854</v>
      </c>
      <c r="D1295" s="338" t="s">
        <v>6644</v>
      </c>
      <c r="E1295" s="338" t="s">
        <v>1812</v>
      </c>
      <c r="F1295" s="338" t="s">
        <v>6643</v>
      </c>
      <c r="G1295" s="338">
        <v>167</v>
      </c>
      <c r="H1295" s="338" t="s">
        <v>425</v>
      </c>
      <c r="I1295" s="338" t="s">
        <v>411</v>
      </c>
      <c r="J1295" s="339"/>
      <c r="K1295" s="339"/>
      <c r="L1295" s="339"/>
      <c r="M1295" s="339"/>
      <c r="N1295" s="338" t="s">
        <v>605</v>
      </c>
      <c r="O1295" s="338"/>
      <c r="P1295" s="338" t="s">
        <v>417</v>
      </c>
    </row>
    <row r="1296" spans="2:16" x14ac:dyDescent="0.25">
      <c r="B1296" s="336" t="s">
        <v>416</v>
      </c>
      <c r="C1296" s="337">
        <v>40852</v>
      </c>
      <c r="D1296" s="338" t="s">
        <v>6642</v>
      </c>
      <c r="E1296" s="338" t="s">
        <v>6641</v>
      </c>
      <c r="F1296" s="338"/>
      <c r="G1296" s="338" t="s">
        <v>413</v>
      </c>
      <c r="H1296" s="338" t="s">
        <v>412</v>
      </c>
      <c r="I1296" s="338" t="s">
        <v>411</v>
      </c>
      <c r="J1296" s="339"/>
      <c r="K1296" s="339"/>
      <c r="L1296" s="339" t="s">
        <v>409</v>
      </c>
      <c r="M1296" s="339" t="s">
        <v>409</v>
      </c>
      <c r="N1296" s="338" t="s">
        <v>432</v>
      </c>
      <c r="O1296" s="338" t="s">
        <v>409</v>
      </c>
      <c r="P1296" s="338" t="s">
        <v>432</v>
      </c>
    </row>
    <row r="1297" spans="2:16" x14ac:dyDescent="0.25">
      <c r="B1297" s="336" t="s">
        <v>416</v>
      </c>
      <c r="C1297" s="337">
        <v>40851</v>
      </c>
      <c r="D1297" s="338" t="s">
        <v>6640</v>
      </c>
      <c r="E1297" s="338" t="s">
        <v>4759</v>
      </c>
      <c r="F1297" s="338"/>
      <c r="G1297" s="338" t="s">
        <v>413</v>
      </c>
      <c r="H1297" s="338" t="s">
        <v>425</v>
      </c>
      <c r="I1297" s="338" t="s">
        <v>411</v>
      </c>
      <c r="J1297" s="339"/>
      <c r="K1297" s="339"/>
      <c r="L1297" s="339" t="s">
        <v>409</v>
      </c>
      <c r="M1297" s="339" t="s">
        <v>409</v>
      </c>
      <c r="N1297" s="338" t="s">
        <v>417</v>
      </c>
      <c r="O1297" s="338" t="s">
        <v>409</v>
      </c>
      <c r="P1297" s="338" t="s">
        <v>410</v>
      </c>
    </row>
    <row r="1298" spans="2:16" x14ac:dyDescent="0.25">
      <c r="B1298" s="336" t="s">
        <v>416</v>
      </c>
      <c r="C1298" s="337">
        <v>40851</v>
      </c>
      <c r="D1298" s="338" t="s">
        <v>6639</v>
      </c>
      <c r="E1298" s="338" t="s">
        <v>5155</v>
      </c>
      <c r="F1298" s="338" t="s">
        <v>6635</v>
      </c>
      <c r="G1298" s="338">
        <v>7.6</v>
      </c>
      <c r="H1298" s="338" t="s">
        <v>425</v>
      </c>
      <c r="I1298" s="338" t="s">
        <v>411</v>
      </c>
      <c r="J1298" s="339"/>
      <c r="K1298" s="339"/>
      <c r="L1298" s="339"/>
      <c r="M1298" s="339"/>
      <c r="N1298" s="338"/>
      <c r="O1298" s="338" t="s">
        <v>612</v>
      </c>
      <c r="P1298" s="338" t="s">
        <v>417</v>
      </c>
    </row>
    <row r="1299" spans="2:16" x14ac:dyDescent="0.25">
      <c r="B1299" s="336" t="s">
        <v>416</v>
      </c>
      <c r="C1299" s="337">
        <v>40851</v>
      </c>
      <c r="D1299" s="338" t="s">
        <v>6638</v>
      </c>
      <c r="E1299" s="338" t="s">
        <v>6637</v>
      </c>
      <c r="F1299" s="338"/>
      <c r="G1299" s="338" t="s">
        <v>413</v>
      </c>
      <c r="H1299" s="338" t="s">
        <v>412</v>
      </c>
      <c r="I1299" s="338" t="s">
        <v>411</v>
      </c>
      <c r="J1299" s="339"/>
      <c r="K1299" s="339"/>
      <c r="L1299" s="339" t="s">
        <v>409</v>
      </c>
      <c r="M1299" s="339" t="s">
        <v>409</v>
      </c>
      <c r="N1299" s="338" t="s">
        <v>487</v>
      </c>
      <c r="O1299" s="338" t="s">
        <v>409</v>
      </c>
      <c r="P1299" s="338" t="s">
        <v>417</v>
      </c>
    </row>
    <row r="1300" spans="2:16" x14ac:dyDescent="0.25">
      <c r="B1300" s="336" t="s">
        <v>416</v>
      </c>
      <c r="C1300" s="337">
        <v>40851</v>
      </c>
      <c r="D1300" s="338" t="s">
        <v>6636</v>
      </c>
      <c r="E1300" s="338" t="s">
        <v>5155</v>
      </c>
      <c r="F1300" s="338" t="s">
        <v>6635</v>
      </c>
      <c r="G1300" s="338">
        <v>1.4</v>
      </c>
      <c r="H1300" s="338" t="s">
        <v>425</v>
      </c>
      <c r="I1300" s="338" t="s">
        <v>411</v>
      </c>
      <c r="J1300" s="339"/>
      <c r="K1300" s="339"/>
      <c r="L1300" s="339"/>
      <c r="M1300" s="339"/>
      <c r="N1300" s="338" t="s">
        <v>417</v>
      </c>
      <c r="O1300" s="338" t="s">
        <v>612</v>
      </c>
      <c r="P1300" s="338" t="s">
        <v>417</v>
      </c>
    </row>
    <row r="1301" spans="2:16" x14ac:dyDescent="0.25">
      <c r="B1301" s="336" t="s">
        <v>416</v>
      </c>
      <c r="C1301" s="337">
        <v>40851</v>
      </c>
      <c r="D1301" s="338" t="s">
        <v>6634</v>
      </c>
      <c r="E1301" s="338" t="s">
        <v>5403</v>
      </c>
      <c r="F1301" s="338"/>
      <c r="G1301" s="338" t="s">
        <v>413</v>
      </c>
      <c r="H1301" s="338" t="s">
        <v>425</v>
      </c>
      <c r="I1301" s="338" t="s">
        <v>411</v>
      </c>
      <c r="J1301" s="339"/>
      <c r="K1301" s="339"/>
      <c r="L1301" s="339" t="s">
        <v>409</v>
      </c>
      <c r="M1301" s="339" t="s">
        <v>409</v>
      </c>
      <c r="N1301" s="338" t="s">
        <v>487</v>
      </c>
      <c r="O1301" s="338" t="s">
        <v>409</v>
      </c>
      <c r="P1301" s="338" t="s">
        <v>417</v>
      </c>
    </row>
    <row r="1302" spans="2:16" x14ac:dyDescent="0.25">
      <c r="B1302" s="336" t="s">
        <v>416</v>
      </c>
      <c r="C1302" s="337">
        <v>40850</v>
      </c>
      <c r="D1302" s="338" t="s">
        <v>6633</v>
      </c>
      <c r="E1302" s="338" t="s">
        <v>6632</v>
      </c>
      <c r="F1302" s="338"/>
      <c r="G1302" s="338" t="s">
        <v>413</v>
      </c>
      <c r="H1302" s="338" t="s">
        <v>412</v>
      </c>
      <c r="I1302" s="338" t="s">
        <v>411</v>
      </c>
      <c r="J1302" s="339"/>
      <c r="K1302" s="339"/>
      <c r="L1302" s="339" t="s">
        <v>409</v>
      </c>
      <c r="M1302" s="339" t="s">
        <v>409</v>
      </c>
      <c r="N1302" s="338" t="s">
        <v>417</v>
      </c>
      <c r="O1302" s="338" t="s">
        <v>409</v>
      </c>
      <c r="P1302" s="338" t="s">
        <v>417</v>
      </c>
    </row>
    <row r="1303" spans="2:16" x14ac:dyDescent="0.25">
      <c r="B1303" s="336" t="s">
        <v>416</v>
      </c>
      <c r="C1303" s="337">
        <v>40850</v>
      </c>
      <c r="D1303" s="338" t="s">
        <v>6631</v>
      </c>
      <c r="E1303" s="338" t="s">
        <v>6630</v>
      </c>
      <c r="F1303" s="338"/>
      <c r="G1303" s="338" t="s">
        <v>413</v>
      </c>
      <c r="H1303" s="338" t="s">
        <v>412</v>
      </c>
      <c r="I1303" s="338" t="s">
        <v>411</v>
      </c>
      <c r="J1303" s="339"/>
      <c r="K1303" s="339"/>
      <c r="L1303" s="339" t="s">
        <v>409</v>
      </c>
      <c r="M1303" s="339" t="s">
        <v>409</v>
      </c>
      <c r="N1303" s="338" t="s">
        <v>885</v>
      </c>
      <c r="O1303" s="338" t="s">
        <v>409</v>
      </c>
      <c r="P1303" s="338" t="s">
        <v>885</v>
      </c>
    </row>
    <row r="1304" spans="2:16" x14ac:dyDescent="0.25">
      <c r="B1304" s="336" t="s">
        <v>416</v>
      </c>
      <c r="C1304" s="337">
        <v>40850</v>
      </c>
      <c r="D1304" s="338" t="s">
        <v>6629</v>
      </c>
      <c r="E1304" s="338" t="s">
        <v>6628</v>
      </c>
      <c r="F1304" s="338" t="s">
        <v>546</v>
      </c>
      <c r="G1304" s="338" t="s">
        <v>413</v>
      </c>
      <c r="H1304" s="338" t="s">
        <v>425</v>
      </c>
      <c r="I1304" s="338" t="s">
        <v>411</v>
      </c>
      <c r="J1304" s="339"/>
      <c r="K1304" s="339"/>
      <c r="L1304" s="339">
        <v>1.7353000000000001</v>
      </c>
      <c r="M1304" s="339">
        <v>8.6933699999999998</v>
      </c>
      <c r="N1304" s="338" t="s">
        <v>417</v>
      </c>
      <c r="O1304" s="338" t="s">
        <v>417</v>
      </c>
      <c r="P1304" s="338" t="s">
        <v>443</v>
      </c>
    </row>
    <row r="1305" spans="2:16" x14ac:dyDescent="0.25">
      <c r="B1305" s="336" t="s">
        <v>416</v>
      </c>
      <c r="C1305" s="337">
        <v>40849</v>
      </c>
      <c r="D1305" s="338" t="s">
        <v>6627</v>
      </c>
      <c r="E1305" s="338" t="s">
        <v>6626</v>
      </c>
      <c r="F1305" s="338" t="s">
        <v>6625</v>
      </c>
      <c r="G1305" s="338" t="s">
        <v>413</v>
      </c>
      <c r="H1305" s="338" t="s">
        <v>425</v>
      </c>
      <c r="I1305" s="338" t="s">
        <v>411</v>
      </c>
      <c r="J1305" s="339"/>
      <c r="K1305" s="339"/>
      <c r="L1305" s="339"/>
      <c r="M1305" s="339"/>
      <c r="N1305" s="338"/>
      <c r="O1305" s="338" t="s">
        <v>432</v>
      </c>
      <c r="P1305" s="338" t="s">
        <v>605</v>
      </c>
    </row>
    <row r="1306" spans="2:16" x14ac:dyDescent="0.25">
      <c r="B1306" s="336" t="s">
        <v>459</v>
      </c>
      <c r="C1306" s="337">
        <v>40849</v>
      </c>
      <c r="D1306" s="338" t="s">
        <v>6624</v>
      </c>
      <c r="E1306" s="338" t="s">
        <v>669</v>
      </c>
      <c r="F1306" s="338"/>
      <c r="G1306" s="338">
        <v>14</v>
      </c>
      <c r="H1306" s="338" t="s">
        <v>425</v>
      </c>
      <c r="I1306" s="338" t="s">
        <v>411</v>
      </c>
      <c r="J1306" s="339"/>
      <c r="K1306" s="339"/>
      <c r="L1306" s="339" t="s">
        <v>409</v>
      </c>
      <c r="M1306" s="339" t="s">
        <v>409</v>
      </c>
      <c r="N1306" s="338" t="s">
        <v>410</v>
      </c>
      <c r="O1306" s="338" t="s">
        <v>409</v>
      </c>
      <c r="P1306" s="338"/>
    </row>
    <row r="1307" spans="2:16" x14ac:dyDescent="0.25">
      <c r="B1307" s="336" t="s">
        <v>416</v>
      </c>
      <c r="C1307" s="337">
        <v>40849</v>
      </c>
      <c r="D1307" s="338" t="s">
        <v>6623</v>
      </c>
      <c r="E1307" s="338" t="s">
        <v>5103</v>
      </c>
      <c r="F1307" s="338"/>
      <c r="G1307" s="338" t="s">
        <v>413</v>
      </c>
      <c r="H1307" s="338" t="s">
        <v>412</v>
      </c>
      <c r="I1307" s="338" t="s">
        <v>411</v>
      </c>
      <c r="J1307" s="339"/>
      <c r="K1307" s="339"/>
      <c r="L1307" s="339" t="s">
        <v>409</v>
      </c>
      <c r="M1307" s="339" t="s">
        <v>409</v>
      </c>
      <c r="N1307" s="338" t="s">
        <v>432</v>
      </c>
      <c r="O1307" s="338" t="s">
        <v>409</v>
      </c>
      <c r="P1307" s="338" t="s">
        <v>417</v>
      </c>
    </row>
    <row r="1308" spans="2:16" x14ac:dyDescent="0.25">
      <c r="B1308" s="336" t="s">
        <v>416</v>
      </c>
      <c r="C1308" s="337">
        <v>40849</v>
      </c>
      <c r="D1308" s="338" t="s">
        <v>6622</v>
      </c>
      <c r="E1308" s="338" t="s">
        <v>6621</v>
      </c>
      <c r="F1308" s="338"/>
      <c r="G1308" s="338" t="s">
        <v>413</v>
      </c>
      <c r="H1308" s="338" t="s">
        <v>412</v>
      </c>
      <c r="I1308" s="338" t="s">
        <v>411</v>
      </c>
      <c r="J1308" s="339"/>
      <c r="K1308" s="339"/>
      <c r="L1308" s="339" t="s">
        <v>409</v>
      </c>
      <c r="M1308" s="339" t="s">
        <v>409</v>
      </c>
      <c r="N1308" s="338" t="s">
        <v>417</v>
      </c>
      <c r="O1308" s="338" t="s">
        <v>409</v>
      </c>
      <c r="P1308" s="338" t="s">
        <v>487</v>
      </c>
    </row>
    <row r="1309" spans="2:16" x14ac:dyDescent="0.25">
      <c r="B1309" s="336" t="s">
        <v>416</v>
      </c>
      <c r="C1309" s="337">
        <v>40848</v>
      </c>
      <c r="D1309" s="338" t="s">
        <v>6620</v>
      </c>
      <c r="E1309" s="338" t="s">
        <v>6619</v>
      </c>
      <c r="F1309" s="338"/>
      <c r="G1309" s="338" t="s">
        <v>413</v>
      </c>
      <c r="H1309" s="338" t="s">
        <v>412</v>
      </c>
      <c r="I1309" s="338" t="s">
        <v>411</v>
      </c>
      <c r="J1309" s="339"/>
      <c r="K1309" s="339"/>
      <c r="L1309" s="339" t="s">
        <v>409</v>
      </c>
      <c r="M1309" s="339" t="s">
        <v>409</v>
      </c>
      <c r="N1309" s="338" t="s">
        <v>417</v>
      </c>
      <c r="O1309" s="338" t="s">
        <v>409</v>
      </c>
      <c r="P1309" s="338" t="s">
        <v>417</v>
      </c>
    </row>
    <row r="1310" spans="2:16" x14ac:dyDescent="0.25">
      <c r="B1310" s="336" t="s">
        <v>416</v>
      </c>
      <c r="C1310" s="337">
        <v>40848</v>
      </c>
      <c r="D1310" s="338" t="s">
        <v>6618</v>
      </c>
      <c r="E1310" s="338" t="s">
        <v>4144</v>
      </c>
      <c r="F1310" s="338" t="s">
        <v>3890</v>
      </c>
      <c r="G1310" s="338" t="s">
        <v>413</v>
      </c>
      <c r="H1310" s="338" t="s">
        <v>425</v>
      </c>
      <c r="I1310" s="338" t="s">
        <v>411</v>
      </c>
      <c r="J1310" s="339"/>
      <c r="K1310" s="339"/>
      <c r="L1310" s="339">
        <v>0.46571299999999999</v>
      </c>
      <c r="M1310" s="339">
        <v>5.4782200000000003</v>
      </c>
      <c r="N1310" s="338"/>
      <c r="O1310" s="338" t="s">
        <v>408</v>
      </c>
      <c r="P1310" s="338" t="s">
        <v>408</v>
      </c>
    </row>
    <row r="1311" spans="2:16" x14ac:dyDescent="0.25">
      <c r="B1311" s="336" t="s">
        <v>416</v>
      </c>
      <c r="C1311" s="337">
        <v>40847</v>
      </c>
      <c r="D1311" s="338" t="s">
        <v>6617</v>
      </c>
      <c r="E1311" s="338" t="s">
        <v>4097</v>
      </c>
      <c r="F1311" s="338" t="s">
        <v>6616</v>
      </c>
      <c r="G1311" s="338">
        <v>4.66</v>
      </c>
      <c r="H1311" s="338" t="s">
        <v>425</v>
      </c>
      <c r="I1311" s="338" t="s">
        <v>411</v>
      </c>
      <c r="J1311" s="339"/>
      <c r="K1311" s="339"/>
      <c r="L1311" s="339"/>
      <c r="M1311" s="339"/>
      <c r="N1311" s="338"/>
      <c r="O1311" s="338" t="s">
        <v>410</v>
      </c>
      <c r="P1311" s="338" t="s">
        <v>417</v>
      </c>
    </row>
    <row r="1312" spans="2:16" x14ac:dyDescent="0.25">
      <c r="B1312" s="336" t="s">
        <v>416</v>
      </c>
      <c r="C1312" s="337">
        <v>40844</v>
      </c>
      <c r="D1312" s="338" t="s">
        <v>6615</v>
      </c>
      <c r="E1312" s="338" t="s">
        <v>2467</v>
      </c>
      <c r="F1312" s="338"/>
      <c r="G1312" s="338" t="s">
        <v>413</v>
      </c>
      <c r="H1312" s="338" t="s">
        <v>425</v>
      </c>
      <c r="I1312" s="338" t="s">
        <v>411</v>
      </c>
      <c r="J1312" s="339"/>
      <c r="K1312" s="339"/>
      <c r="L1312" s="339" t="s">
        <v>409</v>
      </c>
      <c r="M1312" s="339" t="s">
        <v>409</v>
      </c>
      <c r="N1312" s="338"/>
      <c r="O1312" s="338" t="s">
        <v>409</v>
      </c>
      <c r="P1312" s="338" t="s">
        <v>417</v>
      </c>
    </row>
    <row r="1313" spans="2:16" x14ac:dyDescent="0.25">
      <c r="B1313" s="336" t="s">
        <v>416</v>
      </c>
      <c r="C1313" s="337">
        <v>40843</v>
      </c>
      <c r="D1313" s="338" t="s">
        <v>6614</v>
      </c>
      <c r="E1313" s="338" t="s">
        <v>2068</v>
      </c>
      <c r="F1313" s="338"/>
      <c r="G1313" s="338">
        <v>11.66</v>
      </c>
      <c r="H1313" s="338" t="s">
        <v>425</v>
      </c>
      <c r="I1313" s="338" t="s">
        <v>411</v>
      </c>
      <c r="J1313" s="339"/>
      <c r="K1313" s="339"/>
      <c r="L1313" s="339" t="s">
        <v>409</v>
      </c>
      <c r="M1313" s="339" t="s">
        <v>409</v>
      </c>
      <c r="N1313" s="338" t="s">
        <v>410</v>
      </c>
      <c r="O1313" s="338" t="s">
        <v>409</v>
      </c>
      <c r="P1313" s="338" t="s">
        <v>417</v>
      </c>
    </row>
    <row r="1314" spans="2:16" x14ac:dyDescent="0.25">
      <c r="B1314" s="336" t="s">
        <v>416</v>
      </c>
      <c r="C1314" s="337">
        <v>40843</v>
      </c>
      <c r="D1314" s="338" t="s">
        <v>6613</v>
      </c>
      <c r="E1314" s="338" t="s">
        <v>1415</v>
      </c>
      <c r="F1314" s="338" t="s">
        <v>4313</v>
      </c>
      <c r="G1314" s="338">
        <v>65.599999999999994</v>
      </c>
      <c r="H1314" s="338" t="s">
        <v>425</v>
      </c>
      <c r="I1314" s="338" t="s">
        <v>411</v>
      </c>
      <c r="J1314" s="339"/>
      <c r="K1314" s="339"/>
      <c r="L1314" s="339">
        <v>0.25983000000000001</v>
      </c>
      <c r="M1314" s="339"/>
      <c r="N1314" s="338"/>
      <c r="O1314" s="338" t="s">
        <v>417</v>
      </c>
      <c r="P1314" s="338" t="s">
        <v>417</v>
      </c>
    </row>
    <row r="1315" spans="2:16" x14ac:dyDescent="0.25">
      <c r="B1315" s="336" t="s">
        <v>459</v>
      </c>
      <c r="C1315" s="337">
        <v>40842</v>
      </c>
      <c r="D1315" s="338" t="s">
        <v>5275</v>
      </c>
      <c r="E1315" s="338" t="s">
        <v>669</v>
      </c>
      <c r="F1315" s="338" t="s">
        <v>5274</v>
      </c>
      <c r="G1315" s="338" t="s">
        <v>413</v>
      </c>
      <c r="H1315" s="338" t="s">
        <v>425</v>
      </c>
      <c r="I1315" s="338" t="s">
        <v>411</v>
      </c>
      <c r="J1315" s="339"/>
      <c r="K1315" s="339"/>
      <c r="L1315" s="339">
        <v>0.52920800000000001</v>
      </c>
      <c r="M1315" s="339">
        <v>3.8061400000000001</v>
      </c>
      <c r="N1315" s="338" t="s">
        <v>605</v>
      </c>
      <c r="O1315" s="338" t="s">
        <v>417</v>
      </c>
      <c r="P1315" s="338"/>
    </row>
    <row r="1316" spans="2:16" x14ac:dyDescent="0.25">
      <c r="B1316" s="336" t="s">
        <v>459</v>
      </c>
      <c r="C1316" s="337">
        <v>40841</v>
      </c>
      <c r="D1316" s="338" t="s">
        <v>6612</v>
      </c>
      <c r="E1316" s="338" t="s">
        <v>6611</v>
      </c>
      <c r="F1316" s="338"/>
      <c r="G1316" s="338">
        <v>5</v>
      </c>
      <c r="H1316" s="338" t="s">
        <v>425</v>
      </c>
      <c r="I1316" s="338" t="s">
        <v>411</v>
      </c>
      <c r="J1316" s="339"/>
      <c r="K1316" s="339"/>
      <c r="L1316" s="339" t="s">
        <v>409</v>
      </c>
      <c r="M1316" s="339" t="s">
        <v>409</v>
      </c>
      <c r="N1316" s="338" t="s">
        <v>605</v>
      </c>
      <c r="O1316" s="338" t="s">
        <v>409</v>
      </c>
      <c r="P1316" s="338"/>
    </row>
    <row r="1317" spans="2:16" x14ac:dyDescent="0.25">
      <c r="B1317" s="336" t="s">
        <v>416</v>
      </c>
      <c r="C1317" s="337">
        <v>40840</v>
      </c>
      <c r="D1317" s="338" t="s">
        <v>6610</v>
      </c>
      <c r="E1317" s="338" t="s">
        <v>6609</v>
      </c>
      <c r="F1317" s="338" t="s">
        <v>6608</v>
      </c>
      <c r="G1317" s="338">
        <v>49.25</v>
      </c>
      <c r="H1317" s="338" t="s">
        <v>425</v>
      </c>
      <c r="I1317" s="338" t="s">
        <v>411</v>
      </c>
      <c r="J1317" s="339"/>
      <c r="K1317" s="339"/>
      <c r="L1317" s="339"/>
      <c r="M1317" s="339"/>
      <c r="N1317" s="338"/>
      <c r="O1317" s="338" t="s">
        <v>417</v>
      </c>
      <c r="P1317" s="338" t="s">
        <v>543</v>
      </c>
    </row>
    <row r="1318" spans="2:16" x14ac:dyDescent="0.25">
      <c r="B1318" s="336" t="s">
        <v>416</v>
      </c>
      <c r="C1318" s="337">
        <v>40840</v>
      </c>
      <c r="D1318" s="338" t="s">
        <v>3488</v>
      </c>
      <c r="E1318" s="338" t="s">
        <v>6607</v>
      </c>
      <c r="F1318" s="338" t="s">
        <v>6606</v>
      </c>
      <c r="G1318" s="338">
        <v>7.62</v>
      </c>
      <c r="H1318" s="338" t="s">
        <v>425</v>
      </c>
      <c r="I1318" s="338" t="s">
        <v>411</v>
      </c>
      <c r="J1318" s="339"/>
      <c r="K1318" s="339"/>
      <c r="L1318" s="339">
        <v>0.52427199999999996</v>
      </c>
      <c r="M1318" s="339">
        <v>29.3857</v>
      </c>
      <c r="N1318" s="338"/>
      <c r="O1318" s="338" t="s">
        <v>487</v>
      </c>
      <c r="P1318" s="338" t="s">
        <v>417</v>
      </c>
    </row>
    <row r="1319" spans="2:16" x14ac:dyDescent="0.25">
      <c r="B1319" s="336" t="s">
        <v>416</v>
      </c>
      <c r="C1319" s="337">
        <v>40837</v>
      </c>
      <c r="D1319" s="338" t="s">
        <v>6602</v>
      </c>
      <c r="E1319" s="338" t="s">
        <v>6605</v>
      </c>
      <c r="F1319" s="338"/>
      <c r="G1319" s="338" t="s">
        <v>413</v>
      </c>
      <c r="H1319" s="338" t="s">
        <v>412</v>
      </c>
      <c r="I1319" s="338" t="s">
        <v>411</v>
      </c>
      <c r="J1319" s="339"/>
      <c r="K1319" s="339"/>
      <c r="L1319" s="339" t="s">
        <v>409</v>
      </c>
      <c r="M1319" s="339" t="s">
        <v>409</v>
      </c>
      <c r="N1319" s="338" t="s">
        <v>417</v>
      </c>
      <c r="O1319" s="338" t="s">
        <v>409</v>
      </c>
      <c r="P1319" s="338" t="s">
        <v>417</v>
      </c>
    </row>
    <row r="1320" spans="2:16" x14ac:dyDescent="0.25">
      <c r="B1320" s="336" t="s">
        <v>416</v>
      </c>
      <c r="C1320" s="337">
        <v>40837</v>
      </c>
      <c r="D1320" s="338" t="s">
        <v>6604</v>
      </c>
      <c r="E1320" s="338" t="s">
        <v>6603</v>
      </c>
      <c r="F1320" s="338" t="s">
        <v>6602</v>
      </c>
      <c r="G1320" s="338" t="s">
        <v>413</v>
      </c>
      <c r="H1320" s="338" t="s">
        <v>425</v>
      </c>
      <c r="I1320" s="338" t="s">
        <v>411</v>
      </c>
      <c r="J1320" s="339"/>
      <c r="K1320" s="339"/>
      <c r="L1320" s="339"/>
      <c r="M1320" s="339"/>
      <c r="N1320" s="338"/>
      <c r="O1320" s="338" t="s">
        <v>417</v>
      </c>
      <c r="P1320" s="338" t="s">
        <v>417</v>
      </c>
    </row>
    <row r="1321" spans="2:16" x14ac:dyDescent="0.25">
      <c r="B1321" s="336" t="s">
        <v>459</v>
      </c>
      <c r="C1321" s="337">
        <v>40836</v>
      </c>
      <c r="D1321" s="338" t="s">
        <v>6601</v>
      </c>
      <c r="E1321" s="338" t="s">
        <v>6600</v>
      </c>
      <c r="F1321" s="338"/>
      <c r="G1321" s="338">
        <v>54</v>
      </c>
      <c r="H1321" s="338" t="s">
        <v>425</v>
      </c>
      <c r="I1321" s="338" t="s">
        <v>411</v>
      </c>
      <c r="J1321" s="339"/>
      <c r="K1321" s="339"/>
      <c r="L1321" s="339" t="s">
        <v>409</v>
      </c>
      <c r="M1321" s="339" t="s">
        <v>409</v>
      </c>
      <c r="N1321" s="338" t="s">
        <v>432</v>
      </c>
      <c r="O1321" s="338" t="s">
        <v>409</v>
      </c>
      <c r="P1321" s="338"/>
    </row>
    <row r="1322" spans="2:16" x14ac:dyDescent="0.25">
      <c r="B1322" s="336" t="s">
        <v>416</v>
      </c>
      <c r="C1322" s="337">
        <v>40836</v>
      </c>
      <c r="D1322" s="338" t="s">
        <v>6599</v>
      </c>
      <c r="E1322" s="338" t="s">
        <v>1922</v>
      </c>
      <c r="F1322" s="338"/>
      <c r="G1322" s="338" t="s">
        <v>413</v>
      </c>
      <c r="H1322" s="338" t="s">
        <v>425</v>
      </c>
      <c r="I1322" s="338" t="s">
        <v>411</v>
      </c>
      <c r="J1322" s="339"/>
      <c r="K1322" s="339"/>
      <c r="L1322" s="339" t="s">
        <v>409</v>
      </c>
      <c r="M1322" s="339" t="s">
        <v>409</v>
      </c>
      <c r="N1322" s="338" t="s">
        <v>417</v>
      </c>
      <c r="O1322" s="338" t="s">
        <v>409</v>
      </c>
      <c r="P1322" s="338" t="s">
        <v>443</v>
      </c>
    </row>
    <row r="1323" spans="2:16" x14ac:dyDescent="0.25">
      <c r="B1323" s="336" t="s">
        <v>416</v>
      </c>
      <c r="C1323" s="337">
        <v>40836</v>
      </c>
      <c r="D1323" s="338" t="s">
        <v>6598</v>
      </c>
      <c r="E1323" s="338" t="s">
        <v>1322</v>
      </c>
      <c r="F1323" s="338"/>
      <c r="G1323" s="338" t="s">
        <v>413</v>
      </c>
      <c r="H1323" s="338" t="s">
        <v>412</v>
      </c>
      <c r="I1323" s="338" t="s">
        <v>411</v>
      </c>
      <c r="J1323" s="339"/>
      <c r="K1323" s="339"/>
      <c r="L1323" s="339" t="s">
        <v>409</v>
      </c>
      <c r="M1323" s="339" t="s">
        <v>409</v>
      </c>
      <c r="N1323" s="338" t="s">
        <v>417</v>
      </c>
      <c r="O1323" s="338" t="s">
        <v>409</v>
      </c>
      <c r="P1323" s="338" t="s">
        <v>417</v>
      </c>
    </row>
    <row r="1324" spans="2:16" x14ac:dyDescent="0.25">
      <c r="B1324" s="336" t="s">
        <v>416</v>
      </c>
      <c r="C1324" s="337">
        <v>40834</v>
      </c>
      <c r="D1324" s="338" t="s">
        <v>6597</v>
      </c>
      <c r="E1324" s="338" t="s">
        <v>6596</v>
      </c>
      <c r="F1324" s="338"/>
      <c r="G1324" s="338" t="s">
        <v>413</v>
      </c>
      <c r="H1324" s="338" t="s">
        <v>412</v>
      </c>
      <c r="I1324" s="338" t="s">
        <v>411</v>
      </c>
      <c r="J1324" s="339"/>
      <c r="K1324" s="339"/>
      <c r="L1324" s="339" t="s">
        <v>409</v>
      </c>
      <c r="M1324" s="339" t="s">
        <v>409</v>
      </c>
      <c r="N1324" s="338" t="s">
        <v>417</v>
      </c>
      <c r="O1324" s="338" t="s">
        <v>409</v>
      </c>
      <c r="P1324" s="338" t="s">
        <v>417</v>
      </c>
    </row>
    <row r="1325" spans="2:16" x14ac:dyDescent="0.25">
      <c r="B1325" s="336" t="s">
        <v>416</v>
      </c>
      <c r="C1325" s="337">
        <v>40834</v>
      </c>
      <c r="D1325" s="338" t="s">
        <v>6595</v>
      </c>
      <c r="E1325" s="338" t="s">
        <v>6594</v>
      </c>
      <c r="F1325" s="338"/>
      <c r="G1325" s="338" t="s">
        <v>413</v>
      </c>
      <c r="H1325" s="338" t="s">
        <v>425</v>
      </c>
      <c r="I1325" s="338" t="s">
        <v>411</v>
      </c>
      <c r="J1325" s="339"/>
      <c r="K1325" s="339"/>
      <c r="L1325" s="339" t="s">
        <v>409</v>
      </c>
      <c r="M1325" s="339" t="s">
        <v>409</v>
      </c>
      <c r="N1325" s="338"/>
      <c r="O1325" s="338" t="s">
        <v>409</v>
      </c>
      <c r="P1325" s="338" t="s">
        <v>410</v>
      </c>
    </row>
    <row r="1326" spans="2:16" x14ac:dyDescent="0.25">
      <c r="B1326" s="336" t="s">
        <v>416</v>
      </c>
      <c r="C1326" s="337">
        <v>40834</v>
      </c>
      <c r="D1326" s="338" t="s">
        <v>6593</v>
      </c>
      <c r="E1326" s="338" t="s">
        <v>1141</v>
      </c>
      <c r="F1326" s="338"/>
      <c r="G1326" s="338">
        <v>5.2</v>
      </c>
      <c r="H1326" s="338" t="s">
        <v>425</v>
      </c>
      <c r="I1326" s="338" t="s">
        <v>411</v>
      </c>
      <c r="J1326" s="339"/>
      <c r="K1326" s="339"/>
      <c r="L1326" s="339" t="s">
        <v>409</v>
      </c>
      <c r="M1326" s="339" t="s">
        <v>409</v>
      </c>
      <c r="N1326" s="338" t="s">
        <v>417</v>
      </c>
      <c r="O1326" s="338" t="s">
        <v>409</v>
      </c>
      <c r="P1326" s="338" t="s">
        <v>417</v>
      </c>
    </row>
    <row r="1327" spans="2:16" x14ac:dyDescent="0.25">
      <c r="B1327" s="336" t="s">
        <v>416</v>
      </c>
      <c r="C1327" s="337">
        <v>40833</v>
      </c>
      <c r="D1327" s="338" t="s">
        <v>6592</v>
      </c>
      <c r="E1327" s="338" t="s">
        <v>3228</v>
      </c>
      <c r="F1327" s="338" t="s">
        <v>6591</v>
      </c>
      <c r="G1327" s="338" t="s">
        <v>413</v>
      </c>
      <c r="H1327" s="338" t="s">
        <v>425</v>
      </c>
      <c r="I1327" s="338" t="s">
        <v>411</v>
      </c>
      <c r="J1327" s="339"/>
      <c r="K1327" s="339"/>
      <c r="L1327" s="339">
        <v>1.6272500000000001</v>
      </c>
      <c r="M1327" s="339">
        <v>10.473000000000001</v>
      </c>
      <c r="N1327" s="338"/>
      <c r="O1327" s="338" t="s">
        <v>417</v>
      </c>
      <c r="P1327" s="338" t="s">
        <v>417</v>
      </c>
    </row>
    <row r="1328" spans="2:16" x14ac:dyDescent="0.25">
      <c r="B1328" s="336" t="s">
        <v>416</v>
      </c>
      <c r="C1328" s="337">
        <v>40833</v>
      </c>
      <c r="D1328" s="338" t="s">
        <v>6590</v>
      </c>
      <c r="E1328" s="338" t="s">
        <v>3098</v>
      </c>
      <c r="F1328" s="338" t="s">
        <v>430</v>
      </c>
      <c r="G1328" s="338">
        <v>2900</v>
      </c>
      <c r="H1328" s="338" t="s">
        <v>429</v>
      </c>
      <c r="I1328" s="338" t="s">
        <v>411</v>
      </c>
      <c r="J1328" s="339"/>
      <c r="K1328" s="339"/>
      <c r="L1328" s="339">
        <v>0.87180500000000005</v>
      </c>
      <c r="M1328" s="339">
        <v>12.384600000000001</v>
      </c>
      <c r="N1328" s="338"/>
      <c r="O1328" s="338" t="s">
        <v>408</v>
      </c>
      <c r="P1328" s="338" t="s">
        <v>417</v>
      </c>
    </row>
    <row r="1329" spans="2:16" x14ac:dyDescent="0.25">
      <c r="B1329" s="336" t="s">
        <v>416</v>
      </c>
      <c r="C1329" s="337">
        <v>40833</v>
      </c>
      <c r="D1329" s="338" t="s">
        <v>6589</v>
      </c>
      <c r="E1329" s="338" t="s">
        <v>6588</v>
      </c>
      <c r="F1329" s="338"/>
      <c r="G1329" s="338">
        <v>0.5</v>
      </c>
      <c r="H1329" s="338" t="s">
        <v>425</v>
      </c>
      <c r="I1329" s="338" t="s">
        <v>411</v>
      </c>
      <c r="J1329" s="339"/>
      <c r="K1329" s="339"/>
      <c r="L1329" s="339" t="s">
        <v>409</v>
      </c>
      <c r="M1329" s="339" t="s">
        <v>409</v>
      </c>
      <c r="N1329" s="338" t="s">
        <v>417</v>
      </c>
      <c r="O1329" s="338" t="s">
        <v>409</v>
      </c>
      <c r="P1329" s="338" t="s">
        <v>417</v>
      </c>
    </row>
    <row r="1330" spans="2:16" x14ac:dyDescent="0.25">
      <c r="B1330" s="336" t="s">
        <v>416</v>
      </c>
      <c r="C1330" s="337">
        <v>40833</v>
      </c>
      <c r="D1330" s="338" t="s">
        <v>6587</v>
      </c>
      <c r="E1330" s="338" t="s">
        <v>6586</v>
      </c>
      <c r="F1330" s="338" t="s">
        <v>6110</v>
      </c>
      <c r="G1330" s="338" t="s">
        <v>413</v>
      </c>
      <c r="H1330" s="338" t="s">
        <v>425</v>
      </c>
      <c r="I1330" s="338" t="s">
        <v>411</v>
      </c>
      <c r="J1330" s="339"/>
      <c r="K1330" s="339"/>
      <c r="L1330" s="339">
        <v>0.49660399999999999</v>
      </c>
      <c r="M1330" s="339"/>
      <c r="N1330" s="338"/>
      <c r="O1330" s="338" t="s">
        <v>417</v>
      </c>
      <c r="P1330" s="338" t="s">
        <v>410</v>
      </c>
    </row>
    <row r="1331" spans="2:16" x14ac:dyDescent="0.25">
      <c r="B1331" s="336" t="s">
        <v>416</v>
      </c>
      <c r="C1331" s="337">
        <v>40833</v>
      </c>
      <c r="D1331" s="338" t="s">
        <v>6585</v>
      </c>
      <c r="E1331" s="338" t="s">
        <v>6584</v>
      </c>
      <c r="F1331" s="338" t="s">
        <v>3538</v>
      </c>
      <c r="G1331" s="338">
        <v>105</v>
      </c>
      <c r="H1331" s="338" t="s">
        <v>425</v>
      </c>
      <c r="I1331" s="338" t="s">
        <v>411</v>
      </c>
      <c r="J1331" s="339"/>
      <c r="K1331" s="339"/>
      <c r="L1331" s="339">
        <v>0.124821</v>
      </c>
      <c r="M1331" s="339">
        <v>2.87012</v>
      </c>
      <c r="N1331" s="338"/>
      <c r="O1331" s="338" t="s">
        <v>417</v>
      </c>
      <c r="P1331" s="338" t="s">
        <v>443</v>
      </c>
    </row>
    <row r="1332" spans="2:16" x14ac:dyDescent="0.25">
      <c r="B1332" s="336" t="s">
        <v>459</v>
      </c>
      <c r="C1332" s="337">
        <v>40829</v>
      </c>
      <c r="D1332" s="338" t="s">
        <v>6583</v>
      </c>
      <c r="E1332" s="338" t="s">
        <v>2160</v>
      </c>
      <c r="F1332" s="338"/>
      <c r="G1332" s="338" t="s">
        <v>413</v>
      </c>
      <c r="H1332" s="338" t="s">
        <v>412</v>
      </c>
      <c r="I1332" s="338" t="s">
        <v>411</v>
      </c>
      <c r="J1332" s="339"/>
      <c r="K1332" s="339"/>
      <c r="L1332" s="339" t="s">
        <v>409</v>
      </c>
      <c r="M1332" s="339" t="s">
        <v>409</v>
      </c>
      <c r="N1332" s="338" t="s">
        <v>417</v>
      </c>
      <c r="O1332" s="338" t="s">
        <v>409</v>
      </c>
      <c r="P1332" s="338" t="s">
        <v>408</v>
      </c>
    </row>
    <row r="1333" spans="2:16" x14ac:dyDescent="0.25">
      <c r="B1333" s="336" t="s">
        <v>416</v>
      </c>
      <c r="C1333" s="337">
        <v>40829</v>
      </c>
      <c r="D1333" s="338" t="s">
        <v>6582</v>
      </c>
      <c r="E1333" s="338" t="s">
        <v>5832</v>
      </c>
      <c r="F1333" s="338" t="s">
        <v>3494</v>
      </c>
      <c r="G1333" s="338" t="s">
        <v>413</v>
      </c>
      <c r="H1333" s="338" t="s">
        <v>425</v>
      </c>
      <c r="I1333" s="338" t="s">
        <v>411</v>
      </c>
      <c r="J1333" s="339"/>
      <c r="K1333" s="339"/>
      <c r="L1333" s="339">
        <v>4.4746899999999998</v>
      </c>
      <c r="M1333" s="339">
        <v>11.501300000000001</v>
      </c>
      <c r="N1333" s="338"/>
      <c r="O1333" s="338" t="s">
        <v>417</v>
      </c>
      <c r="P1333" s="338" t="s">
        <v>417</v>
      </c>
    </row>
    <row r="1334" spans="2:16" x14ac:dyDescent="0.25">
      <c r="B1334" s="336" t="s">
        <v>416</v>
      </c>
      <c r="C1334" s="337">
        <v>40828</v>
      </c>
      <c r="D1334" s="338" t="s">
        <v>6581</v>
      </c>
      <c r="E1334" s="338" t="s">
        <v>6580</v>
      </c>
      <c r="F1334" s="338" t="s">
        <v>2764</v>
      </c>
      <c r="G1334" s="338">
        <v>40</v>
      </c>
      <c r="H1334" s="338" t="s">
        <v>425</v>
      </c>
      <c r="I1334" s="338" t="s">
        <v>411</v>
      </c>
      <c r="J1334" s="339"/>
      <c r="K1334" s="339"/>
      <c r="L1334" s="339">
        <v>2.5831599999999999</v>
      </c>
      <c r="M1334" s="339">
        <v>418.44600000000003</v>
      </c>
      <c r="N1334" s="338"/>
      <c r="O1334" s="338" t="s">
        <v>417</v>
      </c>
      <c r="P1334" s="338" t="s">
        <v>443</v>
      </c>
    </row>
    <row r="1335" spans="2:16" x14ac:dyDescent="0.25">
      <c r="B1335" s="336" t="s">
        <v>416</v>
      </c>
      <c r="C1335" s="337">
        <v>40828</v>
      </c>
      <c r="D1335" s="338" t="s">
        <v>6579</v>
      </c>
      <c r="E1335" s="338" t="s">
        <v>6110</v>
      </c>
      <c r="F1335" s="338" t="s">
        <v>2764</v>
      </c>
      <c r="G1335" s="338">
        <v>288</v>
      </c>
      <c r="H1335" s="338" t="s">
        <v>425</v>
      </c>
      <c r="I1335" s="338" t="s">
        <v>411</v>
      </c>
      <c r="J1335" s="339"/>
      <c r="K1335" s="339"/>
      <c r="L1335" s="339">
        <v>2.5831599999999999</v>
      </c>
      <c r="M1335" s="339">
        <v>418.44600000000003</v>
      </c>
      <c r="N1335" s="338"/>
      <c r="O1335" s="338" t="s">
        <v>417</v>
      </c>
      <c r="P1335" s="338" t="s">
        <v>417</v>
      </c>
    </row>
    <row r="1336" spans="2:16" x14ac:dyDescent="0.25">
      <c r="B1336" s="336" t="s">
        <v>416</v>
      </c>
      <c r="C1336" s="337">
        <v>40828</v>
      </c>
      <c r="D1336" s="338" t="s">
        <v>6578</v>
      </c>
      <c r="E1336" s="338" t="s">
        <v>3627</v>
      </c>
      <c r="F1336" s="338" t="s">
        <v>6577</v>
      </c>
      <c r="G1336" s="338">
        <v>59</v>
      </c>
      <c r="H1336" s="338" t="s">
        <v>425</v>
      </c>
      <c r="I1336" s="338" t="s">
        <v>411</v>
      </c>
      <c r="J1336" s="339"/>
      <c r="K1336" s="339"/>
      <c r="L1336" s="339"/>
      <c r="M1336" s="339"/>
      <c r="N1336" s="338"/>
      <c r="O1336" s="338" t="s">
        <v>417</v>
      </c>
      <c r="P1336" s="338" t="s">
        <v>417</v>
      </c>
    </row>
    <row r="1337" spans="2:16" x14ac:dyDescent="0.25">
      <c r="B1337" s="336" t="s">
        <v>416</v>
      </c>
      <c r="C1337" s="337">
        <v>40828</v>
      </c>
      <c r="D1337" s="338" t="s">
        <v>6576</v>
      </c>
      <c r="E1337" s="338" t="s">
        <v>2054</v>
      </c>
      <c r="F1337" s="338" t="s">
        <v>2764</v>
      </c>
      <c r="G1337" s="338" t="s">
        <v>413</v>
      </c>
      <c r="H1337" s="338" t="s">
        <v>425</v>
      </c>
      <c r="I1337" s="338" t="s">
        <v>411</v>
      </c>
      <c r="J1337" s="339"/>
      <c r="K1337" s="339"/>
      <c r="L1337" s="339">
        <v>2.5831599999999999</v>
      </c>
      <c r="M1337" s="339">
        <v>418.44600000000003</v>
      </c>
      <c r="N1337" s="338"/>
      <c r="O1337" s="338" t="s">
        <v>417</v>
      </c>
      <c r="P1337" s="338" t="s">
        <v>417</v>
      </c>
    </row>
    <row r="1338" spans="2:16" x14ac:dyDescent="0.25">
      <c r="B1338" s="336" t="s">
        <v>416</v>
      </c>
      <c r="C1338" s="337">
        <v>40827</v>
      </c>
      <c r="D1338" s="338" t="s">
        <v>6575</v>
      </c>
      <c r="E1338" s="338" t="s">
        <v>5586</v>
      </c>
      <c r="F1338" s="338" t="s">
        <v>6574</v>
      </c>
      <c r="G1338" s="338" t="s">
        <v>413</v>
      </c>
      <c r="H1338" s="338" t="s">
        <v>425</v>
      </c>
      <c r="I1338" s="338" t="s">
        <v>411</v>
      </c>
      <c r="J1338" s="339"/>
      <c r="K1338" s="339"/>
      <c r="L1338" s="339"/>
      <c r="M1338" s="339"/>
      <c r="N1338" s="338"/>
      <c r="O1338" s="338" t="s">
        <v>417</v>
      </c>
      <c r="P1338" s="338" t="s">
        <v>417</v>
      </c>
    </row>
    <row r="1339" spans="2:16" x14ac:dyDescent="0.25">
      <c r="B1339" s="336" t="s">
        <v>416</v>
      </c>
      <c r="C1339" s="337">
        <v>40827</v>
      </c>
      <c r="D1339" s="338" t="s">
        <v>6573</v>
      </c>
      <c r="E1339" s="338" t="s">
        <v>463</v>
      </c>
      <c r="F1339" s="338"/>
      <c r="G1339" s="338" t="s">
        <v>413</v>
      </c>
      <c r="H1339" s="338" t="s">
        <v>412</v>
      </c>
      <c r="I1339" s="338" t="s">
        <v>411</v>
      </c>
      <c r="J1339" s="339"/>
      <c r="K1339" s="339"/>
      <c r="L1339" s="339" t="s">
        <v>409</v>
      </c>
      <c r="M1339" s="339" t="s">
        <v>409</v>
      </c>
      <c r="N1339" s="338" t="s">
        <v>417</v>
      </c>
      <c r="O1339" s="338" t="s">
        <v>409</v>
      </c>
      <c r="P1339" s="338" t="s">
        <v>417</v>
      </c>
    </row>
    <row r="1340" spans="2:16" x14ac:dyDescent="0.25">
      <c r="B1340" s="336" t="s">
        <v>416</v>
      </c>
      <c r="C1340" s="337">
        <v>40827</v>
      </c>
      <c r="D1340" s="338" t="s">
        <v>6572</v>
      </c>
      <c r="E1340" s="338" t="s">
        <v>6571</v>
      </c>
      <c r="F1340" s="338"/>
      <c r="G1340" s="338">
        <v>1096.9000000000001</v>
      </c>
      <c r="H1340" s="338" t="s">
        <v>425</v>
      </c>
      <c r="I1340" s="338" t="s">
        <v>411</v>
      </c>
      <c r="J1340" s="339"/>
      <c r="K1340" s="339"/>
      <c r="L1340" s="339" t="s">
        <v>409</v>
      </c>
      <c r="M1340" s="339" t="s">
        <v>409</v>
      </c>
      <c r="N1340" s="338" t="s">
        <v>417</v>
      </c>
      <c r="O1340" s="338" t="s">
        <v>409</v>
      </c>
      <c r="P1340" s="338"/>
    </row>
    <row r="1341" spans="2:16" x14ac:dyDescent="0.25">
      <c r="B1341" s="336" t="s">
        <v>416</v>
      </c>
      <c r="C1341" s="337">
        <v>40826</v>
      </c>
      <c r="D1341" s="338" t="s">
        <v>6570</v>
      </c>
      <c r="E1341" s="338" t="s">
        <v>6569</v>
      </c>
      <c r="F1341" s="338" t="s">
        <v>6568</v>
      </c>
      <c r="G1341" s="338" t="s">
        <v>413</v>
      </c>
      <c r="H1341" s="338" t="s">
        <v>412</v>
      </c>
      <c r="I1341" s="338" t="s">
        <v>1243</v>
      </c>
      <c r="J1341" s="339"/>
      <c r="K1341" s="339"/>
      <c r="L1341" s="339"/>
      <c r="M1341" s="339"/>
      <c r="N1341" s="338" t="s">
        <v>417</v>
      </c>
      <c r="O1341" s="338" t="s">
        <v>443</v>
      </c>
      <c r="P1341" s="338" t="s">
        <v>410</v>
      </c>
    </row>
    <row r="1342" spans="2:16" x14ac:dyDescent="0.25">
      <c r="B1342" s="336" t="s">
        <v>416</v>
      </c>
      <c r="C1342" s="337">
        <v>40823</v>
      </c>
      <c r="D1342" s="338" t="s">
        <v>6567</v>
      </c>
      <c r="E1342" s="338" t="s">
        <v>6566</v>
      </c>
      <c r="F1342" s="338"/>
      <c r="G1342" s="338" t="s">
        <v>413</v>
      </c>
      <c r="H1342" s="338" t="s">
        <v>412</v>
      </c>
      <c r="I1342" s="338" t="s">
        <v>411</v>
      </c>
      <c r="J1342" s="339"/>
      <c r="K1342" s="339"/>
      <c r="L1342" s="339" t="s">
        <v>409</v>
      </c>
      <c r="M1342" s="339" t="s">
        <v>409</v>
      </c>
      <c r="N1342" s="338" t="s">
        <v>417</v>
      </c>
      <c r="O1342" s="338" t="s">
        <v>409</v>
      </c>
      <c r="P1342" s="338" t="s">
        <v>417</v>
      </c>
    </row>
    <row r="1343" spans="2:16" x14ac:dyDescent="0.25">
      <c r="B1343" s="336" t="s">
        <v>416</v>
      </c>
      <c r="C1343" s="337">
        <v>40823</v>
      </c>
      <c r="D1343" s="338" t="s">
        <v>2564</v>
      </c>
      <c r="E1343" s="338" t="s">
        <v>6565</v>
      </c>
      <c r="F1343" s="338" t="s">
        <v>2563</v>
      </c>
      <c r="G1343" s="338" t="s">
        <v>413</v>
      </c>
      <c r="H1343" s="338" t="s">
        <v>412</v>
      </c>
      <c r="I1343" s="338" t="s">
        <v>411</v>
      </c>
      <c r="J1343" s="339"/>
      <c r="K1343" s="339"/>
      <c r="L1343" s="339">
        <v>0.85734100000000002</v>
      </c>
      <c r="M1343" s="339">
        <v>7.1028700000000002</v>
      </c>
      <c r="N1343" s="338" t="s">
        <v>417</v>
      </c>
      <c r="O1343" s="338" t="s">
        <v>432</v>
      </c>
      <c r="P1343" s="338" t="s">
        <v>432</v>
      </c>
    </row>
    <row r="1344" spans="2:16" x14ac:dyDescent="0.25">
      <c r="B1344" s="336" t="s">
        <v>459</v>
      </c>
      <c r="C1344" s="337">
        <v>40821</v>
      </c>
      <c r="D1344" s="338" t="s">
        <v>6564</v>
      </c>
      <c r="E1344" s="338" t="s">
        <v>669</v>
      </c>
      <c r="F1344" s="338"/>
      <c r="G1344" s="338">
        <v>1.73</v>
      </c>
      <c r="H1344" s="338" t="s">
        <v>425</v>
      </c>
      <c r="I1344" s="338" t="s">
        <v>411</v>
      </c>
      <c r="J1344" s="339">
        <v>1.8385899999999999</v>
      </c>
      <c r="K1344" s="339"/>
      <c r="L1344" s="339" t="s">
        <v>409</v>
      </c>
      <c r="M1344" s="339" t="s">
        <v>409</v>
      </c>
      <c r="N1344" s="338" t="s">
        <v>410</v>
      </c>
      <c r="O1344" s="338" t="s">
        <v>409</v>
      </c>
      <c r="P1344" s="338"/>
    </row>
    <row r="1345" spans="2:16" x14ac:dyDescent="0.25">
      <c r="B1345" s="336" t="s">
        <v>416</v>
      </c>
      <c r="C1345" s="337">
        <v>40820</v>
      </c>
      <c r="D1345" s="338" t="s">
        <v>6563</v>
      </c>
      <c r="E1345" s="338" t="s">
        <v>6562</v>
      </c>
      <c r="F1345" s="338"/>
      <c r="G1345" s="338">
        <v>43.59</v>
      </c>
      <c r="H1345" s="338" t="s">
        <v>425</v>
      </c>
      <c r="I1345" s="338" t="s">
        <v>411</v>
      </c>
      <c r="J1345" s="339">
        <v>8.8895500000000002E-2</v>
      </c>
      <c r="K1345" s="339"/>
      <c r="L1345" s="339" t="s">
        <v>409</v>
      </c>
      <c r="M1345" s="339" t="s">
        <v>409</v>
      </c>
      <c r="N1345" s="338" t="s">
        <v>417</v>
      </c>
      <c r="O1345" s="338" t="s">
        <v>409</v>
      </c>
      <c r="P1345" s="338" t="s">
        <v>417</v>
      </c>
    </row>
    <row r="1346" spans="2:16" x14ac:dyDescent="0.25">
      <c r="B1346" s="336" t="s">
        <v>416</v>
      </c>
      <c r="C1346" s="337">
        <v>40819</v>
      </c>
      <c r="D1346" s="338" t="s">
        <v>6561</v>
      </c>
      <c r="E1346" s="338" t="s">
        <v>5103</v>
      </c>
      <c r="F1346" s="338"/>
      <c r="G1346" s="338" t="s">
        <v>413</v>
      </c>
      <c r="H1346" s="338" t="s">
        <v>425</v>
      </c>
      <c r="I1346" s="338" t="s">
        <v>411</v>
      </c>
      <c r="J1346" s="339"/>
      <c r="K1346" s="339"/>
      <c r="L1346" s="339" t="s">
        <v>409</v>
      </c>
      <c r="M1346" s="339" t="s">
        <v>409</v>
      </c>
      <c r="N1346" s="338"/>
      <c r="O1346" s="338" t="s">
        <v>409</v>
      </c>
      <c r="P1346" s="338" t="s">
        <v>417</v>
      </c>
    </row>
    <row r="1347" spans="2:16" x14ac:dyDescent="0.25">
      <c r="B1347" s="336" t="s">
        <v>416</v>
      </c>
      <c r="C1347" s="337">
        <v>40819</v>
      </c>
      <c r="D1347" s="338" t="s">
        <v>4588</v>
      </c>
      <c r="E1347" s="338" t="s">
        <v>6560</v>
      </c>
      <c r="F1347" s="338" t="s">
        <v>1812</v>
      </c>
      <c r="G1347" s="338" t="s">
        <v>413</v>
      </c>
      <c r="H1347" s="338" t="s">
        <v>336</v>
      </c>
      <c r="I1347" s="338" t="s">
        <v>411</v>
      </c>
      <c r="J1347" s="339">
        <v>2.70294E-3</v>
      </c>
      <c r="K1347" s="339"/>
      <c r="L1347" s="339">
        <v>0.162331</v>
      </c>
      <c r="M1347" s="339">
        <v>3.4231199999999999</v>
      </c>
      <c r="N1347" s="338" t="s">
        <v>432</v>
      </c>
      <c r="O1347" s="338" t="s">
        <v>417</v>
      </c>
      <c r="P1347" s="338" t="s">
        <v>432</v>
      </c>
    </row>
    <row r="1348" spans="2:16" x14ac:dyDescent="0.25">
      <c r="B1348" s="336" t="s">
        <v>416</v>
      </c>
      <c r="C1348" s="337">
        <v>40816</v>
      </c>
      <c r="D1348" s="338" t="s">
        <v>6559</v>
      </c>
      <c r="E1348" s="338" t="s">
        <v>1831</v>
      </c>
      <c r="F1348" s="338" t="s">
        <v>6558</v>
      </c>
      <c r="G1348" s="338">
        <v>76</v>
      </c>
      <c r="H1348" s="338" t="s">
        <v>425</v>
      </c>
      <c r="I1348" s="338" t="s">
        <v>411</v>
      </c>
      <c r="J1348" s="339"/>
      <c r="K1348" s="339"/>
      <c r="L1348" s="339"/>
      <c r="M1348" s="339"/>
      <c r="N1348" s="338" t="s">
        <v>417</v>
      </c>
      <c r="O1348" s="338" t="s">
        <v>417</v>
      </c>
      <c r="P1348" s="338" t="s">
        <v>417</v>
      </c>
    </row>
    <row r="1349" spans="2:16" x14ac:dyDescent="0.25">
      <c r="B1349" s="336" t="s">
        <v>416</v>
      </c>
      <c r="C1349" s="337">
        <v>40815</v>
      </c>
      <c r="D1349" s="338" t="s">
        <v>6557</v>
      </c>
      <c r="E1349" s="338" t="s">
        <v>5561</v>
      </c>
      <c r="F1349" s="338" t="s">
        <v>4640</v>
      </c>
      <c r="G1349" s="338" t="s">
        <v>413</v>
      </c>
      <c r="H1349" s="338" t="s">
        <v>425</v>
      </c>
      <c r="I1349" s="338" t="s">
        <v>411</v>
      </c>
      <c r="J1349" s="339"/>
      <c r="K1349" s="339"/>
      <c r="L1349" s="339">
        <v>1.0488</v>
      </c>
      <c r="M1349" s="339"/>
      <c r="N1349" s="338"/>
      <c r="O1349" s="338" t="s">
        <v>417</v>
      </c>
      <c r="P1349" s="338" t="s">
        <v>417</v>
      </c>
    </row>
    <row r="1350" spans="2:16" x14ac:dyDescent="0.25">
      <c r="B1350" s="336" t="s">
        <v>416</v>
      </c>
      <c r="C1350" s="337">
        <v>40814</v>
      </c>
      <c r="D1350" s="338" t="s">
        <v>6556</v>
      </c>
      <c r="E1350" s="338" t="s">
        <v>6555</v>
      </c>
      <c r="F1350" s="338" t="s">
        <v>6554</v>
      </c>
      <c r="G1350" s="338" t="s">
        <v>413</v>
      </c>
      <c r="H1350" s="338" t="s">
        <v>425</v>
      </c>
      <c r="I1350" s="338" t="s">
        <v>411</v>
      </c>
      <c r="J1350" s="339"/>
      <c r="K1350" s="339"/>
      <c r="L1350" s="339"/>
      <c r="M1350" s="339"/>
      <c r="N1350" s="338"/>
      <c r="O1350" s="338" t="s">
        <v>605</v>
      </c>
      <c r="P1350" s="338" t="s">
        <v>605</v>
      </c>
    </row>
    <row r="1351" spans="2:16" x14ac:dyDescent="0.25">
      <c r="B1351" s="336" t="s">
        <v>459</v>
      </c>
      <c r="C1351" s="337">
        <v>40813</v>
      </c>
      <c r="D1351" s="338" t="s">
        <v>6553</v>
      </c>
      <c r="E1351" s="338" t="s">
        <v>6552</v>
      </c>
      <c r="F1351" s="338"/>
      <c r="G1351" s="338" t="s">
        <v>413</v>
      </c>
      <c r="H1351" s="338" t="s">
        <v>425</v>
      </c>
      <c r="I1351" s="338" t="s">
        <v>411</v>
      </c>
      <c r="J1351" s="339"/>
      <c r="K1351" s="339"/>
      <c r="L1351" s="339" t="s">
        <v>409</v>
      </c>
      <c r="M1351" s="339" t="s">
        <v>409</v>
      </c>
      <c r="N1351" s="338" t="s">
        <v>417</v>
      </c>
      <c r="O1351" s="338" t="s">
        <v>409</v>
      </c>
      <c r="P1351" s="338" t="s">
        <v>443</v>
      </c>
    </row>
    <row r="1352" spans="2:16" x14ac:dyDescent="0.25">
      <c r="B1352" s="336" t="s">
        <v>416</v>
      </c>
      <c r="C1352" s="337">
        <v>40813</v>
      </c>
      <c r="D1352" s="338" t="s">
        <v>6551</v>
      </c>
      <c r="E1352" s="338" t="s">
        <v>720</v>
      </c>
      <c r="F1352" s="338" t="s">
        <v>2418</v>
      </c>
      <c r="G1352" s="338">
        <v>250</v>
      </c>
      <c r="H1352" s="338" t="s">
        <v>412</v>
      </c>
      <c r="I1352" s="338" t="s">
        <v>411</v>
      </c>
      <c r="J1352" s="339"/>
      <c r="K1352" s="339"/>
      <c r="L1352" s="339">
        <v>0.73873</v>
      </c>
      <c r="M1352" s="339">
        <v>9.4480699999999995</v>
      </c>
      <c r="N1352" s="338" t="s">
        <v>410</v>
      </c>
      <c r="O1352" s="338" t="s">
        <v>417</v>
      </c>
      <c r="P1352" s="338" t="s">
        <v>410</v>
      </c>
    </row>
    <row r="1353" spans="2:16" x14ac:dyDescent="0.25">
      <c r="B1353" s="336" t="s">
        <v>416</v>
      </c>
      <c r="C1353" s="337">
        <v>40813</v>
      </c>
      <c r="D1353" s="338" t="s">
        <v>3569</v>
      </c>
      <c r="E1353" s="338" t="s">
        <v>6550</v>
      </c>
      <c r="F1353" s="338" t="s">
        <v>3568</v>
      </c>
      <c r="G1353" s="338" t="s">
        <v>413</v>
      </c>
      <c r="H1353" s="338" t="s">
        <v>425</v>
      </c>
      <c r="I1353" s="338" t="s">
        <v>411</v>
      </c>
      <c r="J1353" s="339"/>
      <c r="K1353" s="339"/>
      <c r="L1353" s="339"/>
      <c r="M1353" s="339"/>
      <c r="N1353" s="338" t="s">
        <v>417</v>
      </c>
      <c r="O1353" s="338" t="s">
        <v>443</v>
      </c>
      <c r="P1353" s="338" t="s">
        <v>417</v>
      </c>
    </row>
    <row r="1354" spans="2:16" x14ac:dyDescent="0.25">
      <c r="B1354" s="336" t="s">
        <v>416</v>
      </c>
      <c r="C1354" s="337">
        <v>40812</v>
      </c>
      <c r="D1354" s="338" t="s">
        <v>552</v>
      </c>
      <c r="E1354" s="338" t="s">
        <v>538</v>
      </c>
      <c r="F1354" s="338" t="s">
        <v>2773</v>
      </c>
      <c r="G1354" s="338">
        <v>13.9</v>
      </c>
      <c r="H1354" s="338" t="s">
        <v>425</v>
      </c>
      <c r="I1354" s="338" t="s">
        <v>411</v>
      </c>
      <c r="J1354" s="339"/>
      <c r="K1354" s="339"/>
      <c r="L1354" s="339">
        <v>0.111817</v>
      </c>
      <c r="M1354" s="339"/>
      <c r="N1354" s="338"/>
      <c r="O1354" s="338" t="s">
        <v>417</v>
      </c>
      <c r="P1354" s="338" t="s">
        <v>417</v>
      </c>
    </row>
    <row r="1355" spans="2:16" x14ac:dyDescent="0.25">
      <c r="B1355" s="336" t="s">
        <v>416</v>
      </c>
      <c r="C1355" s="337">
        <v>40809</v>
      </c>
      <c r="D1355" s="338" t="s">
        <v>6549</v>
      </c>
      <c r="E1355" s="338" t="s">
        <v>6548</v>
      </c>
      <c r="F1355" s="338"/>
      <c r="G1355" s="338">
        <v>168.5</v>
      </c>
      <c r="H1355" s="338" t="s">
        <v>429</v>
      </c>
      <c r="I1355" s="338" t="s">
        <v>411</v>
      </c>
      <c r="J1355" s="339"/>
      <c r="K1355" s="339"/>
      <c r="L1355" s="339" t="s">
        <v>409</v>
      </c>
      <c r="M1355" s="339" t="s">
        <v>409</v>
      </c>
      <c r="N1355" s="338"/>
      <c r="O1355" s="338" t="s">
        <v>409</v>
      </c>
      <c r="P1355" s="338" t="s">
        <v>443</v>
      </c>
    </row>
    <row r="1356" spans="2:16" x14ac:dyDescent="0.25">
      <c r="B1356" s="336" t="s">
        <v>416</v>
      </c>
      <c r="C1356" s="337">
        <v>40809</v>
      </c>
      <c r="D1356" s="338" t="s">
        <v>6547</v>
      </c>
      <c r="E1356" s="338" t="s">
        <v>2467</v>
      </c>
      <c r="F1356" s="338"/>
      <c r="G1356" s="338" t="s">
        <v>413</v>
      </c>
      <c r="H1356" s="338" t="s">
        <v>412</v>
      </c>
      <c r="I1356" s="338" t="s">
        <v>411</v>
      </c>
      <c r="J1356" s="339"/>
      <c r="K1356" s="339"/>
      <c r="L1356" s="339" t="s">
        <v>409</v>
      </c>
      <c r="M1356" s="339" t="s">
        <v>409</v>
      </c>
      <c r="N1356" s="338" t="s">
        <v>417</v>
      </c>
      <c r="O1356" s="338" t="s">
        <v>409</v>
      </c>
      <c r="P1356" s="338" t="s">
        <v>417</v>
      </c>
    </row>
    <row r="1357" spans="2:16" x14ac:dyDescent="0.25">
      <c r="B1357" s="336" t="s">
        <v>416</v>
      </c>
      <c r="C1357" s="337">
        <v>40808</v>
      </c>
      <c r="D1357" s="338" t="s">
        <v>6546</v>
      </c>
      <c r="E1357" s="338" t="s">
        <v>6545</v>
      </c>
      <c r="F1357" s="338" t="s">
        <v>1032</v>
      </c>
      <c r="G1357" s="338" t="s">
        <v>413</v>
      </c>
      <c r="H1357" s="338" t="s">
        <v>412</v>
      </c>
      <c r="I1357" s="338" t="s">
        <v>411</v>
      </c>
      <c r="J1357" s="339"/>
      <c r="K1357" s="339"/>
      <c r="L1357" s="339">
        <v>2.6935500000000001</v>
      </c>
      <c r="M1357" s="339">
        <v>12.8904</v>
      </c>
      <c r="N1357" s="338" t="s">
        <v>417</v>
      </c>
      <c r="O1357" s="338" t="s">
        <v>417</v>
      </c>
      <c r="P1357" s="338" t="s">
        <v>443</v>
      </c>
    </row>
    <row r="1358" spans="2:16" x14ac:dyDescent="0.25">
      <c r="B1358" s="336" t="s">
        <v>416</v>
      </c>
      <c r="C1358" s="337">
        <v>40808</v>
      </c>
      <c r="D1358" s="338" t="s">
        <v>6544</v>
      </c>
      <c r="E1358" s="338" t="s">
        <v>6543</v>
      </c>
      <c r="F1358" s="338" t="s">
        <v>2267</v>
      </c>
      <c r="G1358" s="338" t="s">
        <v>413</v>
      </c>
      <c r="H1358" s="338" t="s">
        <v>425</v>
      </c>
      <c r="I1358" s="338" t="s">
        <v>411</v>
      </c>
      <c r="J1358" s="339"/>
      <c r="K1358" s="339"/>
      <c r="L1358" s="339"/>
      <c r="M1358" s="339"/>
      <c r="N1358" s="338"/>
      <c r="O1358" s="338" t="s">
        <v>417</v>
      </c>
      <c r="P1358" s="338" t="s">
        <v>417</v>
      </c>
    </row>
    <row r="1359" spans="2:16" x14ac:dyDescent="0.25">
      <c r="B1359" s="336" t="s">
        <v>416</v>
      </c>
      <c r="C1359" s="337">
        <v>40808</v>
      </c>
      <c r="D1359" s="338" t="s">
        <v>6542</v>
      </c>
      <c r="E1359" s="338" t="s">
        <v>6541</v>
      </c>
      <c r="F1359" s="338" t="s">
        <v>1032</v>
      </c>
      <c r="G1359" s="338" t="s">
        <v>413</v>
      </c>
      <c r="H1359" s="338" t="s">
        <v>412</v>
      </c>
      <c r="I1359" s="338" t="s">
        <v>411</v>
      </c>
      <c r="J1359" s="339"/>
      <c r="K1359" s="339"/>
      <c r="L1359" s="339">
        <v>2.6935500000000001</v>
      </c>
      <c r="M1359" s="339">
        <v>12.8904</v>
      </c>
      <c r="N1359" s="338" t="s">
        <v>417</v>
      </c>
      <c r="O1359" s="338" t="s">
        <v>417</v>
      </c>
      <c r="P1359" s="338" t="s">
        <v>443</v>
      </c>
    </row>
    <row r="1360" spans="2:16" x14ac:dyDescent="0.25">
      <c r="B1360" s="336" t="s">
        <v>416</v>
      </c>
      <c r="C1360" s="337">
        <v>40808</v>
      </c>
      <c r="D1360" s="338" t="s">
        <v>6540</v>
      </c>
      <c r="E1360" s="338" t="s">
        <v>6538</v>
      </c>
      <c r="F1360" s="338"/>
      <c r="G1360" s="338">
        <v>2.59</v>
      </c>
      <c r="H1360" s="338" t="s">
        <v>696</v>
      </c>
      <c r="I1360" s="338" t="s">
        <v>411</v>
      </c>
      <c r="J1360" s="339"/>
      <c r="K1360" s="339"/>
      <c r="L1360" s="339" t="s">
        <v>409</v>
      </c>
      <c r="M1360" s="339" t="s">
        <v>409</v>
      </c>
      <c r="N1360" s="338" t="s">
        <v>417</v>
      </c>
      <c r="O1360" s="338" t="s">
        <v>409</v>
      </c>
      <c r="P1360" s="338" t="s">
        <v>417</v>
      </c>
    </row>
    <row r="1361" spans="2:16" x14ac:dyDescent="0.25">
      <c r="B1361" s="336" t="s">
        <v>416</v>
      </c>
      <c r="C1361" s="337">
        <v>40808</v>
      </c>
      <c r="D1361" s="338" t="s">
        <v>6539</v>
      </c>
      <c r="E1361" s="338" t="s">
        <v>6538</v>
      </c>
      <c r="F1361" s="338"/>
      <c r="G1361" s="338">
        <v>1.1100000000000001</v>
      </c>
      <c r="H1361" s="338" t="s">
        <v>507</v>
      </c>
      <c r="I1361" s="338" t="s">
        <v>411</v>
      </c>
      <c r="J1361" s="339"/>
      <c r="K1361" s="339"/>
      <c r="L1361" s="339" t="s">
        <v>409</v>
      </c>
      <c r="M1361" s="339" t="s">
        <v>409</v>
      </c>
      <c r="N1361" s="338" t="s">
        <v>417</v>
      </c>
      <c r="O1361" s="338" t="s">
        <v>409</v>
      </c>
      <c r="P1361" s="338" t="s">
        <v>417</v>
      </c>
    </row>
    <row r="1362" spans="2:16" x14ac:dyDescent="0.25">
      <c r="B1362" s="336" t="s">
        <v>416</v>
      </c>
      <c r="C1362" s="337">
        <v>40808</v>
      </c>
      <c r="D1362" s="338" t="s">
        <v>6537</v>
      </c>
      <c r="E1362" s="338" t="s">
        <v>1322</v>
      </c>
      <c r="F1362" s="338"/>
      <c r="G1362" s="338" t="s">
        <v>413</v>
      </c>
      <c r="H1362" s="338" t="s">
        <v>412</v>
      </c>
      <c r="I1362" s="338" t="s">
        <v>411</v>
      </c>
      <c r="J1362" s="339"/>
      <c r="K1362" s="339"/>
      <c r="L1362" s="339" t="s">
        <v>409</v>
      </c>
      <c r="M1362" s="339" t="s">
        <v>409</v>
      </c>
      <c r="N1362" s="338" t="s">
        <v>417</v>
      </c>
      <c r="O1362" s="338" t="s">
        <v>409</v>
      </c>
      <c r="P1362" s="338" t="s">
        <v>417</v>
      </c>
    </row>
    <row r="1363" spans="2:16" x14ac:dyDescent="0.25">
      <c r="B1363" s="336" t="s">
        <v>416</v>
      </c>
      <c r="C1363" s="337">
        <v>40808</v>
      </c>
      <c r="D1363" s="338" t="s">
        <v>6536</v>
      </c>
      <c r="E1363" s="338" t="s">
        <v>6535</v>
      </c>
      <c r="F1363" s="338" t="s">
        <v>2267</v>
      </c>
      <c r="G1363" s="338" t="s">
        <v>413</v>
      </c>
      <c r="H1363" s="338" t="s">
        <v>425</v>
      </c>
      <c r="I1363" s="338" t="s">
        <v>411</v>
      </c>
      <c r="J1363" s="339"/>
      <c r="K1363" s="339"/>
      <c r="L1363" s="339"/>
      <c r="M1363" s="339"/>
      <c r="N1363" s="338"/>
      <c r="O1363" s="338" t="s">
        <v>417</v>
      </c>
      <c r="P1363" s="338" t="s">
        <v>417</v>
      </c>
    </row>
    <row r="1364" spans="2:16" x14ac:dyDescent="0.25">
      <c r="B1364" s="336" t="s">
        <v>416</v>
      </c>
      <c r="C1364" s="337">
        <v>40807</v>
      </c>
      <c r="D1364" s="338" t="s">
        <v>6534</v>
      </c>
      <c r="E1364" s="338" t="s">
        <v>669</v>
      </c>
      <c r="F1364" s="338" t="s">
        <v>6533</v>
      </c>
      <c r="G1364" s="338" t="s">
        <v>413</v>
      </c>
      <c r="H1364" s="338" t="s">
        <v>425</v>
      </c>
      <c r="I1364" s="338" t="s">
        <v>411</v>
      </c>
      <c r="J1364" s="339"/>
      <c r="K1364" s="339"/>
      <c r="L1364" s="339"/>
      <c r="M1364" s="339">
        <v>189.857</v>
      </c>
      <c r="N1364" s="338"/>
      <c r="O1364" s="338" t="s">
        <v>408</v>
      </c>
      <c r="P1364" s="338"/>
    </row>
    <row r="1365" spans="2:16" x14ac:dyDescent="0.25">
      <c r="B1365" s="336" t="s">
        <v>416</v>
      </c>
      <c r="C1365" s="337">
        <v>40807</v>
      </c>
      <c r="D1365" s="338" t="s">
        <v>6532</v>
      </c>
      <c r="E1365" s="338" t="s">
        <v>6531</v>
      </c>
      <c r="F1365" s="338"/>
      <c r="G1365" s="338" t="s">
        <v>413</v>
      </c>
      <c r="H1365" s="338" t="s">
        <v>425</v>
      </c>
      <c r="I1365" s="338" t="s">
        <v>411</v>
      </c>
      <c r="J1365" s="339"/>
      <c r="K1365" s="339"/>
      <c r="L1365" s="339" t="s">
        <v>409</v>
      </c>
      <c r="M1365" s="339" t="s">
        <v>409</v>
      </c>
      <c r="N1365" s="338"/>
      <c r="O1365" s="338" t="s">
        <v>409</v>
      </c>
      <c r="P1365" s="338"/>
    </row>
    <row r="1366" spans="2:16" x14ac:dyDescent="0.25">
      <c r="B1366" s="336" t="s">
        <v>416</v>
      </c>
      <c r="C1366" s="337">
        <v>40807</v>
      </c>
      <c r="D1366" s="338" t="s">
        <v>6530</v>
      </c>
      <c r="E1366" s="338" t="s">
        <v>5330</v>
      </c>
      <c r="F1366" s="338" t="s">
        <v>2281</v>
      </c>
      <c r="G1366" s="338" t="s">
        <v>413</v>
      </c>
      <c r="H1366" s="338" t="s">
        <v>425</v>
      </c>
      <c r="I1366" s="338" t="s">
        <v>411</v>
      </c>
      <c r="J1366" s="339"/>
      <c r="K1366" s="339"/>
      <c r="L1366" s="339">
        <v>13.3729</v>
      </c>
      <c r="M1366" s="339">
        <v>20.925899999999999</v>
      </c>
      <c r="N1366" s="338"/>
      <c r="O1366" s="338" t="s">
        <v>443</v>
      </c>
      <c r="P1366" s="338" t="s">
        <v>443</v>
      </c>
    </row>
    <row r="1367" spans="2:16" x14ac:dyDescent="0.25">
      <c r="B1367" s="336" t="s">
        <v>416</v>
      </c>
      <c r="C1367" s="337">
        <v>40806</v>
      </c>
      <c r="D1367" s="338" t="s">
        <v>6529</v>
      </c>
      <c r="E1367" s="338" t="s">
        <v>6528</v>
      </c>
      <c r="F1367" s="338"/>
      <c r="G1367" s="338" t="s">
        <v>413</v>
      </c>
      <c r="H1367" s="338" t="s">
        <v>425</v>
      </c>
      <c r="I1367" s="338" t="s">
        <v>411</v>
      </c>
      <c r="J1367" s="339"/>
      <c r="K1367" s="339"/>
      <c r="L1367" s="339" t="s">
        <v>409</v>
      </c>
      <c r="M1367" s="339" t="s">
        <v>409</v>
      </c>
      <c r="N1367" s="338" t="s">
        <v>417</v>
      </c>
      <c r="O1367" s="338" t="s">
        <v>409</v>
      </c>
      <c r="P1367" s="338" t="s">
        <v>443</v>
      </c>
    </row>
    <row r="1368" spans="2:16" x14ac:dyDescent="0.25">
      <c r="B1368" s="336" t="s">
        <v>416</v>
      </c>
      <c r="C1368" s="337">
        <v>40805</v>
      </c>
      <c r="D1368" s="338" t="s">
        <v>6527</v>
      </c>
      <c r="E1368" s="338" t="s">
        <v>1529</v>
      </c>
      <c r="F1368" s="338" t="s">
        <v>6526</v>
      </c>
      <c r="G1368" s="338" t="s">
        <v>413</v>
      </c>
      <c r="H1368" s="338" t="s">
        <v>425</v>
      </c>
      <c r="I1368" s="338" t="s">
        <v>411</v>
      </c>
      <c r="J1368" s="339"/>
      <c r="K1368" s="339"/>
      <c r="L1368" s="339"/>
      <c r="M1368" s="339"/>
      <c r="N1368" s="338"/>
      <c r="O1368" s="338" t="s">
        <v>408</v>
      </c>
      <c r="P1368" s="338" t="s">
        <v>410</v>
      </c>
    </row>
    <row r="1369" spans="2:16" x14ac:dyDescent="0.25">
      <c r="B1369" s="336" t="s">
        <v>1441</v>
      </c>
      <c r="C1369" s="337">
        <v>40805</v>
      </c>
      <c r="D1369" s="338" t="s">
        <v>1189</v>
      </c>
      <c r="E1369" s="338" t="s">
        <v>2237</v>
      </c>
      <c r="F1369" s="338"/>
      <c r="G1369" s="338" t="s">
        <v>413</v>
      </c>
      <c r="H1369" s="338" t="s">
        <v>412</v>
      </c>
      <c r="I1369" s="338" t="s">
        <v>1243</v>
      </c>
      <c r="J1369" s="339"/>
      <c r="K1369" s="339"/>
      <c r="L1369" s="339" t="s">
        <v>409</v>
      </c>
      <c r="M1369" s="339" t="s">
        <v>409</v>
      </c>
      <c r="N1369" s="338" t="s">
        <v>417</v>
      </c>
      <c r="O1369" s="338" t="s">
        <v>409</v>
      </c>
      <c r="P1369" s="338" t="s">
        <v>410</v>
      </c>
    </row>
    <row r="1370" spans="2:16" x14ac:dyDescent="0.25">
      <c r="B1370" s="336" t="s">
        <v>1441</v>
      </c>
      <c r="C1370" s="337">
        <v>40800</v>
      </c>
      <c r="D1370" s="338" t="s">
        <v>6525</v>
      </c>
      <c r="E1370" s="338" t="s">
        <v>889</v>
      </c>
      <c r="F1370" s="338"/>
      <c r="G1370" s="338" t="s">
        <v>413</v>
      </c>
      <c r="H1370" s="338" t="s">
        <v>412</v>
      </c>
      <c r="I1370" s="338" t="s">
        <v>1243</v>
      </c>
      <c r="J1370" s="339"/>
      <c r="K1370" s="339"/>
      <c r="L1370" s="339" t="s">
        <v>409</v>
      </c>
      <c r="M1370" s="339" t="s">
        <v>409</v>
      </c>
      <c r="N1370" s="338" t="s">
        <v>432</v>
      </c>
      <c r="O1370" s="338" t="s">
        <v>409</v>
      </c>
      <c r="P1370" s="338" t="s">
        <v>410</v>
      </c>
    </row>
    <row r="1371" spans="2:16" x14ac:dyDescent="0.25">
      <c r="B1371" s="336" t="s">
        <v>416</v>
      </c>
      <c r="C1371" s="337">
        <v>40800</v>
      </c>
      <c r="D1371" s="338" t="s">
        <v>6524</v>
      </c>
      <c r="E1371" s="338" t="s">
        <v>761</v>
      </c>
      <c r="F1371" s="338"/>
      <c r="G1371" s="338" t="s">
        <v>413</v>
      </c>
      <c r="H1371" s="338" t="s">
        <v>425</v>
      </c>
      <c r="I1371" s="338" t="s">
        <v>411</v>
      </c>
      <c r="J1371" s="339"/>
      <c r="K1371" s="339"/>
      <c r="L1371" s="339" t="s">
        <v>409</v>
      </c>
      <c r="M1371" s="339" t="s">
        <v>409</v>
      </c>
      <c r="N1371" s="338"/>
      <c r="O1371" s="338" t="s">
        <v>409</v>
      </c>
      <c r="P1371" s="338" t="s">
        <v>417</v>
      </c>
    </row>
    <row r="1372" spans="2:16" x14ac:dyDescent="0.25">
      <c r="B1372" s="336" t="s">
        <v>416</v>
      </c>
      <c r="C1372" s="337">
        <v>40799</v>
      </c>
      <c r="D1372" s="338" t="s">
        <v>6523</v>
      </c>
      <c r="E1372" s="338" t="s">
        <v>5440</v>
      </c>
      <c r="F1372" s="338"/>
      <c r="G1372" s="338" t="s">
        <v>413</v>
      </c>
      <c r="H1372" s="338" t="s">
        <v>412</v>
      </c>
      <c r="I1372" s="338" t="s">
        <v>411</v>
      </c>
      <c r="J1372" s="339"/>
      <c r="K1372" s="339"/>
      <c r="L1372" s="339" t="s">
        <v>409</v>
      </c>
      <c r="M1372" s="339" t="s">
        <v>409</v>
      </c>
      <c r="N1372" s="338" t="s">
        <v>432</v>
      </c>
      <c r="O1372" s="338" t="s">
        <v>409</v>
      </c>
      <c r="P1372" s="338" t="s">
        <v>417</v>
      </c>
    </row>
    <row r="1373" spans="2:16" x14ac:dyDescent="0.25">
      <c r="B1373" s="336" t="s">
        <v>416</v>
      </c>
      <c r="C1373" s="337">
        <v>40798</v>
      </c>
      <c r="D1373" s="338" t="s">
        <v>6522</v>
      </c>
      <c r="E1373" s="338" t="s">
        <v>6521</v>
      </c>
      <c r="F1373" s="338" t="s">
        <v>6520</v>
      </c>
      <c r="G1373" s="338" t="s">
        <v>413</v>
      </c>
      <c r="H1373" s="338" t="s">
        <v>425</v>
      </c>
      <c r="I1373" s="338" t="s">
        <v>411</v>
      </c>
      <c r="J1373" s="339"/>
      <c r="K1373" s="339"/>
      <c r="L1373" s="339"/>
      <c r="M1373" s="339"/>
      <c r="N1373" s="338" t="s">
        <v>417</v>
      </c>
      <c r="O1373" s="338"/>
      <c r="P1373" s="338"/>
    </row>
    <row r="1374" spans="2:16" x14ac:dyDescent="0.25">
      <c r="B1374" s="336" t="s">
        <v>416</v>
      </c>
      <c r="C1374" s="337">
        <v>40794</v>
      </c>
      <c r="D1374" s="338" t="s">
        <v>6519</v>
      </c>
      <c r="E1374" s="338" t="s">
        <v>6518</v>
      </c>
      <c r="F1374" s="338"/>
      <c r="G1374" s="338" t="s">
        <v>413</v>
      </c>
      <c r="H1374" s="338" t="s">
        <v>412</v>
      </c>
      <c r="I1374" s="338" t="s">
        <v>411</v>
      </c>
      <c r="J1374" s="339"/>
      <c r="K1374" s="339"/>
      <c r="L1374" s="339" t="s">
        <v>409</v>
      </c>
      <c r="M1374" s="339" t="s">
        <v>409</v>
      </c>
      <c r="N1374" s="338" t="s">
        <v>432</v>
      </c>
      <c r="O1374" s="338" t="s">
        <v>409</v>
      </c>
      <c r="P1374" s="338" t="s">
        <v>417</v>
      </c>
    </row>
    <row r="1375" spans="2:16" x14ac:dyDescent="0.25">
      <c r="B1375" s="336" t="s">
        <v>459</v>
      </c>
      <c r="C1375" s="337">
        <v>40794</v>
      </c>
      <c r="D1375" s="338" t="s">
        <v>6517</v>
      </c>
      <c r="E1375" s="338" t="s">
        <v>6516</v>
      </c>
      <c r="F1375" s="338"/>
      <c r="G1375" s="338">
        <v>11</v>
      </c>
      <c r="H1375" s="338" t="s">
        <v>425</v>
      </c>
      <c r="I1375" s="338" t="s">
        <v>411</v>
      </c>
      <c r="J1375" s="339"/>
      <c r="K1375" s="339"/>
      <c r="L1375" s="339" t="s">
        <v>409</v>
      </c>
      <c r="M1375" s="339" t="s">
        <v>409</v>
      </c>
      <c r="N1375" s="338" t="s">
        <v>432</v>
      </c>
      <c r="O1375" s="338" t="s">
        <v>409</v>
      </c>
      <c r="P1375" s="338"/>
    </row>
    <row r="1376" spans="2:16" x14ac:dyDescent="0.25">
      <c r="B1376" s="336" t="s">
        <v>416</v>
      </c>
      <c r="C1376" s="337">
        <v>40794</v>
      </c>
      <c r="D1376" s="338" t="s">
        <v>6515</v>
      </c>
      <c r="E1376" s="338" t="s">
        <v>5135</v>
      </c>
      <c r="F1376" s="338"/>
      <c r="G1376" s="338" t="s">
        <v>413</v>
      </c>
      <c r="H1376" s="338" t="s">
        <v>412</v>
      </c>
      <c r="I1376" s="338" t="s">
        <v>411</v>
      </c>
      <c r="J1376" s="339"/>
      <c r="K1376" s="339"/>
      <c r="L1376" s="339" t="s">
        <v>409</v>
      </c>
      <c r="M1376" s="339" t="s">
        <v>409</v>
      </c>
      <c r="N1376" s="338" t="s">
        <v>432</v>
      </c>
      <c r="O1376" s="338" t="s">
        <v>409</v>
      </c>
      <c r="P1376" s="338" t="s">
        <v>417</v>
      </c>
    </row>
    <row r="1377" spans="2:16" x14ac:dyDescent="0.25">
      <c r="B1377" s="336" t="s">
        <v>416</v>
      </c>
      <c r="C1377" s="337">
        <v>40794</v>
      </c>
      <c r="D1377" s="338" t="s">
        <v>1866</v>
      </c>
      <c r="E1377" s="338" t="s">
        <v>5533</v>
      </c>
      <c r="F1377" s="338" t="s">
        <v>831</v>
      </c>
      <c r="G1377" s="338" t="s">
        <v>413</v>
      </c>
      <c r="H1377" s="338" t="s">
        <v>425</v>
      </c>
      <c r="I1377" s="338" t="s">
        <v>411</v>
      </c>
      <c r="J1377" s="339"/>
      <c r="K1377" s="339"/>
      <c r="L1377" s="339">
        <v>1.53552</v>
      </c>
      <c r="M1377" s="339">
        <v>11.0791</v>
      </c>
      <c r="N1377" s="338" t="s">
        <v>410</v>
      </c>
      <c r="O1377" s="338" t="s">
        <v>417</v>
      </c>
      <c r="P1377" s="338" t="s">
        <v>443</v>
      </c>
    </row>
    <row r="1378" spans="2:16" x14ac:dyDescent="0.25">
      <c r="B1378" s="336" t="s">
        <v>416</v>
      </c>
      <c r="C1378" s="337">
        <v>40794</v>
      </c>
      <c r="D1378" s="338" t="s">
        <v>6514</v>
      </c>
      <c r="E1378" s="338" t="s">
        <v>6463</v>
      </c>
      <c r="F1378" s="338"/>
      <c r="G1378" s="338" t="s">
        <v>413</v>
      </c>
      <c r="H1378" s="338" t="s">
        <v>412</v>
      </c>
      <c r="I1378" s="338" t="s">
        <v>411</v>
      </c>
      <c r="J1378" s="339"/>
      <c r="K1378" s="339"/>
      <c r="L1378" s="339" t="s">
        <v>409</v>
      </c>
      <c r="M1378" s="339" t="s">
        <v>409</v>
      </c>
      <c r="N1378" s="338" t="s">
        <v>432</v>
      </c>
      <c r="O1378" s="338" t="s">
        <v>409</v>
      </c>
      <c r="P1378" s="338" t="s">
        <v>432</v>
      </c>
    </row>
    <row r="1379" spans="2:16" x14ac:dyDescent="0.25">
      <c r="B1379" s="336" t="s">
        <v>416</v>
      </c>
      <c r="C1379" s="337">
        <v>40794</v>
      </c>
      <c r="D1379" s="338" t="s">
        <v>6513</v>
      </c>
      <c r="E1379" s="338" t="s">
        <v>3069</v>
      </c>
      <c r="F1379" s="338"/>
      <c r="G1379" s="338" t="s">
        <v>413</v>
      </c>
      <c r="H1379" s="338" t="s">
        <v>425</v>
      </c>
      <c r="I1379" s="338" t="s">
        <v>411</v>
      </c>
      <c r="J1379" s="339"/>
      <c r="K1379" s="339"/>
      <c r="L1379" s="339" t="s">
        <v>409</v>
      </c>
      <c r="M1379" s="339" t="s">
        <v>409</v>
      </c>
      <c r="N1379" s="338" t="s">
        <v>432</v>
      </c>
      <c r="O1379" s="338" t="s">
        <v>409</v>
      </c>
      <c r="P1379" s="338" t="s">
        <v>443</v>
      </c>
    </row>
    <row r="1380" spans="2:16" x14ac:dyDescent="0.25">
      <c r="B1380" s="336" t="s">
        <v>416</v>
      </c>
      <c r="C1380" s="337">
        <v>40793</v>
      </c>
      <c r="D1380" s="338" t="s">
        <v>6512</v>
      </c>
      <c r="E1380" s="338" t="s">
        <v>6511</v>
      </c>
      <c r="F1380" s="338" t="s">
        <v>2012</v>
      </c>
      <c r="G1380" s="338" t="s">
        <v>413</v>
      </c>
      <c r="H1380" s="338" t="s">
        <v>425</v>
      </c>
      <c r="I1380" s="338" t="s">
        <v>411</v>
      </c>
      <c r="J1380" s="339"/>
      <c r="K1380" s="339"/>
      <c r="L1380" s="339">
        <v>0.26979999999999998</v>
      </c>
      <c r="M1380" s="339"/>
      <c r="N1380" s="338"/>
      <c r="O1380" s="338" t="s">
        <v>410</v>
      </c>
      <c r="P1380" s="338" t="s">
        <v>417</v>
      </c>
    </row>
    <row r="1381" spans="2:16" x14ac:dyDescent="0.25">
      <c r="B1381" s="336" t="s">
        <v>416</v>
      </c>
      <c r="C1381" s="337">
        <v>40793</v>
      </c>
      <c r="D1381" s="338" t="s">
        <v>6510</v>
      </c>
      <c r="E1381" s="338" t="s">
        <v>441</v>
      </c>
      <c r="F1381" s="338" t="s">
        <v>2012</v>
      </c>
      <c r="G1381" s="338" t="s">
        <v>413</v>
      </c>
      <c r="H1381" s="338" t="s">
        <v>425</v>
      </c>
      <c r="I1381" s="338" t="s">
        <v>411</v>
      </c>
      <c r="J1381" s="339"/>
      <c r="K1381" s="339"/>
      <c r="L1381" s="339">
        <v>0.26979999999999998</v>
      </c>
      <c r="M1381" s="339"/>
      <c r="N1381" s="338"/>
      <c r="O1381" s="338" t="s">
        <v>410</v>
      </c>
      <c r="P1381" s="338" t="s">
        <v>417</v>
      </c>
    </row>
    <row r="1382" spans="2:16" x14ac:dyDescent="0.25">
      <c r="B1382" s="336" t="s">
        <v>416</v>
      </c>
      <c r="C1382" s="337">
        <v>40793</v>
      </c>
      <c r="D1382" s="338" t="s">
        <v>6509</v>
      </c>
      <c r="E1382" s="338" t="s">
        <v>6508</v>
      </c>
      <c r="F1382" s="338" t="s">
        <v>2012</v>
      </c>
      <c r="G1382" s="338" t="s">
        <v>413</v>
      </c>
      <c r="H1382" s="338" t="s">
        <v>425</v>
      </c>
      <c r="I1382" s="338" t="s">
        <v>411</v>
      </c>
      <c r="J1382" s="339"/>
      <c r="K1382" s="339"/>
      <c r="L1382" s="339">
        <v>0.26979999999999998</v>
      </c>
      <c r="M1382" s="339"/>
      <c r="N1382" s="338"/>
      <c r="O1382" s="338" t="s">
        <v>410</v>
      </c>
      <c r="P1382" s="338" t="s">
        <v>417</v>
      </c>
    </row>
    <row r="1383" spans="2:16" x14ac:dyDescent="0.25">
      <c r="B1383" s="336" t="s">
        <v>416</v>
      </c>
      <c r="C1383" s="337">
        <v>40792</v>
      </c>
      <c r="D1383" s="338" t="s">
        <v>6507</v>
      </c>
      <c r="E1383" s="338" t="s">
        <v>6506</v>
      </c>
      <c r="F1383" s="338"/>
      <c r="G1383" s="338" t="s">
        <v>413</v>
      </c>
      <c r="H1383" s="338" t="s">
        <v>412</v>
      </c>
      <c r="I1383" s="338" t="s">
        <v>411</v>
      </c>
      <c r="J1383" s="339"/>
      <c r="K1383" s="339"/>
      <c r="L1383" s="339" t="s">
        <v>409</v>
      </c>
      <c r="M1383" s="339" t="s">
        <v>409</v>
      </c>
      <c r="N1383" s="338" t="s">
        <v>410</v>
      </c>
      <c r="O1383" s="338" t="s">
        <v>409</v>
      </c>
      <c r="P1383" s="338" t="s">
        <v>410</v>
      </c>
    </row>
    <row r="1384" spans="2:16" x14ac:dyDescent="0.25">
      <c r="B1384" s="336" t="s">
        <v>416</v>
      </c>
      <c r="C1384" s="337">
        <v>40788</v>
      </c>
      <c r="D1384" s="338" t="s">
        <v>6505</v>
      </c>
      <c r="E1384" s="338" t="s">
        <v>6504</v>
      </c>
      <c r="F1384" s="338" t="s">
        <v>2764</v>
      </c>
      <c r="G1384" s="338">
        <v>85</v>
      </c>
      <c r="H1384" s="338" t="s">
        <v>425</v>
      </c>
      <c r="I1384" s="338" t="s">
        <v>411</v>
      </c>
      <c r="J1384" s="339"/>
      <c r="K1384" s="339"/>
      <c r="L1384" s="339">
        <v>2.5831599999999999</v>
      </c>
      <c r="M1384" s="339">
        <v>418.44600000000003</v>
      </c>
      <c r="N1384" s="338"/>
      <c r="O1384" s="338" t="s">
        <v>417</v>
      </c>
      <c r="P1384" s="338" t="s">
        <v>443</v>
      </c>
    </row>
    <row r="1385" spans="2:16" x14ac:dyDescent="0.25">
      <c r="B1385" s="336" t="s">
        <v>416</v>
      </c>
      <c r="C1385" s="337">
        <v>40788</v>
      </c>
      <c r="D1385" s="338" t="s">
        <v>6503</v>
      </c>
      <c r="E1385" s="338" t="s">
        <v>6502</v>
      </c>
      <c r="F1385" s="338"/>
      <c r="G1385" s="338" t="s">
        <v>413</v>
      </c>
      <c r="H1385" s="338" t="s">
        <v>412</v>
      </c>
      <c r="I1385" s="338" t="s">
        <v>411</v>
      </c>
      <c r="J1385" s="339"/>
      <c r="K1385" s="339"/>
      <c r="L1385" s="339" t="s">
        <v>409</v>
      </c>
      <c r="M1385" s="339" t="s">
        <v>409</v>
      </c>
      <c r="N1385" s="338" t="s">
        <v>487</v>
      </c>
      <c r="O1385" s="338" t="s">
        <v>409</v>
      </c>
      <c r="P1385" s="338" t="s">
        <v>487</v>
      </c>
    </row>
    <row r="1386" spans="2:16" x14ac:dyDescent="0.25">
      <c r="B1386" s="336" t="s">
        <v>459</v>
      </c>
      <c r="C1386" s="337">
        <v>40788</v>
      </c>
      <c r="D1386" s="338" t="s">
        <v>5421</v>
      </c>
      <c r="E1386" s="338" t="s">
        <v>6501</v>
      </c>
      <c r="F1386" s="338"/>
      <c r="G1386" s="338">
        <v>9</v>
      </c>
      <c r="H1386" s="338" t="s">
        <v>425</v>
      </c>
      <c r="I1386" s="338" t="s">
        <v>411</v>
      </c>
      <c r="J1386" s="339"/>
      <c r="K1386" s="339"/>
      <c r="L1386" s="339" t="s">
        <v>409</v>
      </c>
      <c r="M1386" s="339" t="s">
        <v>409</v>
      </c>
      <c r="N1386" s="338" t="s">
        <v>605</v>
      </c>
      <c r="O1386" s="338" t="s">
        <v>409</v>
      </c>
      <c r="P1386" s="338"/>
    </row>
    <row r="1387" spans="2:16" x14ac:dyDescent="0.25">
      <c r="B1387" s="336" t="s">
        <v>416</v>
      </c>
      <c r="C1387" s="337">
        <v>40787</v>
      </c>
      <c r="D1387" s="338" t="s">
        <v>945</v>
      </c>
      <c r="E1387" s="338" t="s">
        <v>5922</v>
      </c>
      <c r="F1387" s="338" t="s">
        <v>6500</v>
      </c>
      <c r="G1387" s="338" t="s">
        <v>413</v>
      </c>
      <c r="H1387" s="338" t="s">
        <v>412</v>
      </c>
      <c r="I1387" s="338" t="s">
        <v>411</v>
      </c>
      <c r="J1387" s="339"/>
      <c r="K1387" s="339"/>
      <c r="L1387" s="339"/>
      <c r="M1387" s="339"/>
      <c r="N1387" s="338"/>
      <c r="O1387" s="338"/>
      <c r="P1387" s="338" t="s">
        <v>417</v>
      </c>
    </row>
    <row r="1388" spans="2:16" x14ac:dyDescent="0.25">
      <c r="B1388" s="336" t="s">
        <v>416</v>
      </c>
      <c r="C1388" s="337">
        <v>40787</v>
      </c>
      <c r="D1388" s="338" t="s">
        <v>6499</v>
      </c>
      <c r="E1388" s="338" t="s">
        <v>847</v>
      </c>
      <c r="F1388" s="338"/>
      <c r="G1388" s="338">
        <v>8.5</v>
      </c>
      <c r="H1388" s="338" t="s">
        <v>425</v>
      </c>
      <c r="I1388" s="338" t="s">
        <v>411</v>
      </c>
      <c r="J1388" s="339"/>
      <c r="K1388" s="339"/>
      <c r="L1388" s="339" t="s">
        <v>409</v>
      </c>
      <c r="M1388" s="339" t="s">
        <v>409</v>
      </c>
      <c r="N1388" s="338"/>
      <c r="O1388" s="338" t="s">
        <v>409</v>
      </c>
      <c r="P1388" s="338" t="s">
        <v>417</v>
      </c>
    </row>
    <row r="1389" spans="2:16" x14ac:dyDescent="0.25">
      <c r="B1389" s="336" t="s">
        <v>416</v>
      </c>
      <c r="C1389" s="337">
        <v>40786</v>
      </c>
      <c r="D1389" s="338" t="s">
        <v>6498</v>
      </c>
      <c r="E1389" s="338" t="s">
        <v>1153</v>
      </c>
      <c r="F1389" s="338"/>
      <c r="G1389" s="338">
        <v>715</v>
      </c>
      <c r="H1389" s="338" t="s">
        <v>425</v>
      </c>
      <c r="I1389" s="338" t="s">
        <v>1243</v>
      </c>
      <c r="J1389" s="339">
        <v>0.24715100000000001</v>
      </c>
      <c r="K1389" s="339">
        <v>4.2766099999999998</v>
      </c>
      <c r="L1389" s="339" t="s">
        <v>409</v>
      </c>
      <c r="M1389" s="339" t="s">
        <v>409</v>
      </c>
      <c r="N1389" s="338" t="s">
        <v>417</v>
      </c>
      <c r="O1389" s="338" t="s">
        <v>409</v>
      </c>
      <c r="P1389" s="338" t="s">
        <v>443</v>
      </c>
    </row>
    <row r="1390" spans="2:16" x14ac:dyDescent="0.25">
      <c r="B1390" s="336" t="s">
        <v>416</v>
      </c>
      <c r="C1390" s="337">
        <v>40786</v>
      </c>
      <c r="D1390" s="338" t="s">
        <v>945</v>
      </c>
      <c r="E1390" s="338" t="s">
        <v>6497</v>
      </c>
      <c r="F1390" s="338" t="s">
        <v>6496</v>
      </c>
      <c r="G1390" s="338" t="s">
        <v>413</v>
      </c>
      <c r="H1390" s="338" t="s">
        <v>425</v>
      </c>
      <c r="I1390" s="338" t="s">
        <v>411</v>
      </c>
      <c r="J1390" s="339"/>
      <c r="K1390" s="339"/>
      <c r="L1390" s="339"/>
      <c r="M1390" s="339"/>
      <c r="N1390" s="338"/>
      <c r="O1390" s="338" t="s">
        <v>417</v>
      </c>
      <c r="P1390" s="338" t="s">
        <v>487</v>
      </c>
    </row>
    <row r="1391" spans="2:16" x14ac:dyDescent="0.25">
      <c r="B1391" s="336" t="s">
        <v>459</v>
      </c>
      <c r="C1391" s="337">
        <v>40785</v>
      </c>
      <c r="D1391" s="338" t="s">
        <v>1203</v>
      </c>
      <c r="E1391" s="338" t="s">
        <v>6495</v>
      </c>
      <c r="F1391" s="338" t="s">
        <v>3254</v>
      </c>
      <c r="G1391" s="338">
        <v>309.13</v>
      </c>
      <c r="H1391" s="338" t="s">
        <v>425</v>
      </c>
      <c r="I1391" s="338" t="s">
        <v>1243</v>
      </c>
      <c r="J1391" s="339">
        <v>1.88785</v>
      </c>
      <c r="K1391" s="339">
        <v>4.0728</v>
      </c>
      <c r="L1391" s="339">
        <v>0.64654900000000004</v>
      </c>
      <c r="M1391" s="339">
        <v>3.6718299999999999</v>
      </c>
      <c r="N1391" s="338" t="s">
        <v>417</v>
      </c>
      <c r="O1391" s="338" t="s">
        <v>417</v>
      </c>
      <c r="P1391" s="338"/>
    </row>
    <row r="1392" spans="2:16" x14ac:dyDescent="0.25">
      <c r="B1392" s="336" t="s">
        <v>416</v>
      </c>
      <c r="C1392" s="337">
        <v>40785</v>
      </c>
      <c r="D1392" s="338" t="s">
        <v>6494</v>
      </c>
      <c r="E1392" s="338" t="s">
        <v>6493</v>
      </c>
      <c r="F1392" s="338" t="s">
        <v>6492</v>
      </c>
      <c r="G1392" s="338" t="s">
        <v>413</v>
      </c>
      <c r="H1392" s="338" t="s">
        <v>412</v>
      </c>
      <c r="I1392" s="338" t="s">
        <v>411</v>
      </c>
      <c r="J1392" s="339"/>
      <c r="K1392" s="339"/>
      <c r="L1392" s="339"/>
      <c r="M1392" s="339"/>
      <c r="N1392" s="338" t="s">
        <v>417</v>
      </c>
      <c r="O1392" s="338" t="s">
        <v>410</v>
      </c>
      <c r="P1392" s="338" t="s">
        <v>487</v>
      </c>
    </row>
    <row r="1393" spans="2:16" x14ac:dyDescent="0.25">
      <c r="B1393" s="336" t="s">
        <v>416</v>
      </c>
      <c r="C1393" s="337">
        <v>40785</v>
      </c>
      <c r="D1393" s="338" t="s">
        <v>6491</v>
      </c>
      <c r="E1393" s="338" t="s">
        <v>6490</v>
      </c>
      <c r="F1393" s="338"/>
      <c r="G1393" s="338" t="s">
        <v>413</v>
      </c>
      <c r="H1393" s="338" t="s">
        <v>425</v>
      </c>
      <c r="I1393" s="338" t="s">
        <v>411</v>
      </c>
      <c r="J1393" s="339"/>
      <c r="K1393" s="339"/>
      <c r="L1393" s="339" t="s">
        <v>409</v>
      </c>
      <c r="M1393" s="339" t="s">
        <v>409</v>
      </c>
      <c r="N1393" s="338" t="s">
        <v>417</v>
      </c>
      <c r="O1393" s="338" t="s">
        <v>409</v>
      </c>
      <c r="P1393" s="338" t="s">
        <v>443</v>
      </c>
    </row>
    <row r="1394" spans="2:16" x14ac:dyDescent="0.25">
      <c r="B1394" s="336" t="s">
        <v>416</v>
      </c>
      <c r="C1394" s="337">
        <v>40784</v>
      </c>
      <c r="D1394" s="338" t="s">
        <v>6489</v>
      </c>
      <c r="E1394" s="338" t="s">
        <v>5965</v>
      </c>
      <c r="F1394" s="338" t="s">
        <v>6488</v>
      </c>
      <c r="G1394" s="338" t="s">
        <v>413</v>
      </c>
      <c r="H1394" s="338" t="s">
        <v>425</v>
      </c>
      <c r="I1394" s="338" t="s">
        <v>411</v>
      </c>
      <c r="J1394" s="339"/>
      <c r="K1394" s="339"/>
      <c r="L1394" s="339"/>
      <c r="M1394" s="339"/>
      <c r="N1394" s="338" t="s">
        <v>408</v>
      </c>
      <c r="O1394" s="338" t="s">
        <v>487</v>
      </c>
      <c r="P1394" s="338" t="s">
        <v>417</v>
      </c>
    </row>
    <row r="1395" spans="2:16" x14ac:dyDescent="0.25">
      <c r="B1395" s="336" t="s">
        <v>459</v>
      </c>
      <c r="C1395" s="337">
        <v>40780</v>
      </c>
      <c r="D1395" s="338" t="s">
        <v>6487</v>
      </c>
      <c r="E1395" s="338" t="s">
        <v>4628</v>
      </c>
      <c r="F1395" s="338"/>
      <c r="G1395" s="338" t="s">
        <v>413</v>
      </c>
      <c r="H1395" s="338" t="s">
        <v>425</v>
      </c>
      <c r="I1395" s="338" t="s">
        <v>411</v>
      </c>
      <c r="J1395" s="339"/>
      <c r="K1395" s="339"/>
      <c r="L1395" s="339" t="s">
        <v>409</v>
      </c>
      <c r="M1395" s="339" t="s">
        <v>409</v>
      </c>
      <c r="N1395" s="338" t="s">
        <v>417</v>
      </c>
      <c r="O1395" s="338" t="s">
        <v>409</v>
      </c>
      <c r="P1395" s="338" t="s">
        <v>443</v>
      </c>
    </row>
    <row r="1396" spans="2:16" x14ac:dyDescent="0.25">
      <c r="B1396" s="336" t="s">
        <v>416</v>
      </c>
      <c r="C1396" s="337">
        <v>40780</v>
      </c>
      <c r="D1396" s="338" t="s">
        <v>6486</v>
      </c>
      <c r="E1396" s="338" t="s">
        <v>6485</v>
      </c>
      <c r="F1396" s="338"/>
      <c r="G1396" s="338" t="s">
        <v>413</v>
      </c>
      <c r="H1396" s="338" t="s">
        <v>412</v>
      </c>
      <c r="I1396" s="338" t="s">
        <v>411</v>
      </c>
      <c r="J1396" s="339"/>
      <c r="K1396" s="339"/>
      <c r="L1396" s="339" t="s">
        <v>409</v>
      </c>
      <c r="M1396" s="339" t="s">
        <v>409</v>
      </c>
      <c r="N1396" s="338" t="s">
        <v>417</v>
      </c>
      <c r="O1396" s="338" t="s">
        <v>409</v>
      </c>
      <c r="P1396" s="338" t="s">
        <v>417</v>
      </c>
    </row>
    <row r="1397" spans="2:16" x14ac:dyDescent="0.25">
      <c r="B1397" s="336" t="s">
        <v>416</v>
      </c>
      <c r="C1397" s="337">
        <v>40780</v>
      </c>
      <c r="D1397" s="338" t="s">
        <v>6484</v>
      </c>
      <c r="E1397" s="338" t="s">
        <v>6483</v>
      </c>
      <c r="F1397" s="338" t="s">
        <v>1028</v>
      </c>
      <c r="G1397" s="338">
        <v>55</v>
      </c>
      <c r="H1397" s="338" t="s">
        <v>425</v>
      </c>
      <c r="I1397" s="338" t="s">
        <v>411</v>
      </c>
      <c r="J1397" s="339"/>
      <c r="K1397" s="339"/>
      <c r="L1397" s="339">
        <v>0.45597599999999999</v>
      </c>
      <c r="M1397" s="339">
        <v>7.1679500000000003</v>
      </c>
      <c r="N1397" s="338" t="s">
        <v>417</v>
      </c>
      <c r="O1397" s="338" t="s">
        <v>417</v>
      </c>
      <c r="P1397" s="338" t="s">
        <v>417</v>
      </c>
    </row>
    <row r="1398" spans="2:16" x14ac:dyDescent="0.25">
      <c r="B1398" s="336" t="s">
        <v>416</v>
      </c>
      <c r="C1398" s="337">
        <v>40779</v>
      </c>
      <c r="D1398" s="338" t="s">
        <v>6482</v>
      </c>
      <c r="E1398" s="338" t="s">
        <v>5984</v>
      </c>
      <c r="F1398" s="338" t="s">
        <v>1228</v>
      </c>
      <c r="G1398" s="338" t="s">
        <v>413</v>
      </c>
      <c r="H1398" s="338" t="s">
        <v>425</v>
      </c>
      <c r="I1398" s="338" t="s">
        <v>411</v>
      </c>
      <c r="J1398" s="339"/>
      <c r="K1398" s="339"/>
      <c r="L1398" s="339">
        <v>1.84887</v>
      </c>
      <c r="M1398" s="339">
        <v>10.621600000000001</v>
      </c>
      <c r="N1398" s="338"/>
      <c r="O1398" s="338" t="s">
        <v>410</v>
      </c>
      <c r="P1398" s="338" t="s">
        <v>410</v>
      </c>
    </row>
    <row r="1399" spans="2:16" x14ac:dyDescent="0.25">
      <c r="B1399" s="336" t="s">
        <v>1441</v>
      </c>
      <c r="C1399" s="337">
        <v>40778</v>
      </c>
      <c r="D1399" s="338" t="s">
        <v>6481</v>
      </c>
      <c r="E1399" s="338" t="s">
        <v>4640</v>
      </c>
      <c r="F1399" s="338"/>
      <c r="G1399" s="338" t="s">
        <v>413</v>
      </c>
      <c r="H1399" s="338" t="s">
        <v>412</v>
      </c>
      <c r="I1399" s="338" t="s">
        <v>1243</v>
      </c>
      <c r="J1399" s="339"/>
      <c r="K1399" s="339"/>
      <c r="L1399" s="339" t="s">
        <v>409</v>
      </c>
      <c r="M1399" s="339" t="s">
        <v>409</v>
      </c>
      <c r="N1399" s="338" t="s">
        <v>543</v>
      </c>
      <c r="O1399" s="338" t="s">
        <v>409</v>
      </c>
      <c r="P1399" s="338" t="s">
        <v>417</v>
      </c>
    </row>
    <row r="1400" spans="2:16" x14ac:dyDescent="0.25">
      <c r="B1400" s="336" t="s">
        <v>416</v>
      </c>
      <c r="C1400" s="337">
        <v>40778</v>
      </c>
      <c r="D1400" s="338" t="s">
        <v>6480</v>
      </c>
      <c r="E1400" s="338" t="s">
        <v>6479</v>
      </c>
      <c r="F1400" s="338"/>
      <c r="G1400" s="338" t="s">
        <v>413</v>
      </c>
      <c r="H1400" s="338" t="s">
        <v>425</v>
      </c>
      <c r="I1400" s="338" t="s">
        <v>411</v>
      </c>
      <c r="J1400" s="339"/>
      <c r="K1400" s="339"/>
      <c r="L1400" s="339" t="s">
        <v>409</v>
      </c>
      <c r="M1400" s="339" t="s">
        <v>409</v>
      </c>
      <c r="N1400" s="338" t="s">
        <v>432</v>
      </c>
      <c r="O1400" s="338" t="s">
        <v>409</v>
      </c>
      <c r="P1400" s="338"/>
    </row>
    <row r="1401" spans="2:16" x14ac:dyDescent="0.25">
      <c r="B1401" s="336" t="s">
        <v>416</v>
      </c>
      <c r="C1401" s="337">
        <v>40778</v>
      </c>
      <c r="D1401" s="338" t="s">
        <v>6478</v>
      </c>
      <c r="E1401" s="338" t="s">
        <v>5214</v>
      </c>
      <c r="F1401" s="338"/>
      <c r="G1401" s="338">
        <v>5</v>
      </c>
      <c r="H1401" s="338" t="s">
        <v>336</v>
      </c>
      <c r="I1401" s="338" t="s">
        <v>411</v>
      </c>
      <c r="J1401" s="339"/>
      <c r="K1401" s="339"/>
      <c r="L1401" s="339" t="s">
        <v>409</v>
      </c>
      <c r="M1401" s="339" t="s">
        <v>409</v>
      </c>
      <c r="N1401" s="338" t="s">
        <v>432</v>
      </c>
      <c r="O1401" s="338" t="s">
        <v>409</v>
      </c>
      <c r="P1401" s="338" t="s">
        <v>417</v>
      </c>
    </row>
    <row r="1402" spans="2:16" x14ac:dyDescent="0.25">
      <c r="B1402" s="336" t="s">
        <v>416</v>
      </c>
      <c r="C1402" s="337">
        <v>40778</v>
      </c>
      <c r="D1402" s="338" t="s">
        <v>6477</v>
      </c>
      <c r="E1402" s="338" t="s">
        <v>6476</v>
      </c>
      <c r="F1402" s="338"/>
      <c r="G1402" s="338" t="s">
        <v>413</v>
      </c>
      <c r="H1402" s="338" t="s">
        <v>412</v>
      </c>
      <c r="I1402" s="338" t="s">
        <v>411</v>
      </c>
      <c r="J1402" s="339"/>
      <c r="K1402" s="339"/>
      <c r="L1402" s="339" t="s">
        <v>409</v>
      </c>
      <c r="M1402" s="339" t="s">
        <v>409</v>
      </c>
      <c r="N1402" s="338" t="s">
        <v>417</v>
      </c>
      <c r="O1402" s="338" t="s">
        <v>409</v>
      </c>
      <c r="P1402" s="338" t="s">
        <v>432</v>
      </c>
    </row>
    <row r="1403" spans="2:16" x14ac:dyDescent="0.25">
      <c r="B1403" s="336" t="s">
        <v>416</v>
      </c>
      <c r="C1403" s="337">
        <v>40777</v>
      </c>
      <c r="D1403" s="338" t="s">
        <v>6475</v>
      </c>
      <c r="E1403" s="338" t="s">
        <v>1119</v>
      </c>
      <c r="F1403" s="338"/>
      <c r="G1403" s="338" t="s">
        <v>413</v>
      </c>
      <c r="H1403" s="338" t="s">
        <v>425</v>
      </c>
      <c r="I1403" s="338" t="s">
        <v>411</v>
      </c>
      <c r="J1403" s="339"/>
      <c r="K1403" s="339"/>
      <c r="L1403" s="339" t="s">
        <v>409</v>
      </c>
      <c r="M1403" s="339" t="s">
        <v>409</v>
      </c>
      <c r="N1403" s="338"/>
      <c r="O1403" s="338" t="s">
        <v>409</v>
      </c>
      <c r="P1403" s="338" t="s">
        <v>417</v>
      </c>
    </row>
    <row r="1404" spans="2:16" x14ac:dyDescent="0.25">
      <c r="B1404" s="336" t="s">
        <v>416</v>
      </c>
      <c r="C1404" s="337">
        <v>40775</v>
      </c>
      <c r="D1404" s="338" t="s">
        <v>6474</v>
      </c>
      <c r="E1404" s="338" t="s">
        <v>591</v>
      </c>
      <c r="F1404" s="338"/>
      <c r="G1404" s="338" t="s">
        <v>413</v>
      </c>
      <c r="H1404" s="338" t="s">
        <v>425</v>
      </c>
      <c r="I1404" s="338" t="s">
        <v>411</v>
      </c>
      <c r="J1404" s="339"/>
      <c r="K1404" s="339"/>
      <c r="L1404" s="339" t="s">
        <v>409</v>
      </c>
      <c r="M1404" s="339" t="s">
        <v>409</v>
      </c>
      <c r="N1404" s="338"/>
      <c r="O1404" s="338" t="s">
        <v>409</v>
      </c>
      <c r="P1404" s="338" t="s">
        <v>410</v>
      </c>
    </row>
    <row r="1405" spans="2:16" x14ac:dyDescent="0.25">
      <c r="B1405" s="336" t="s">
        <v>416</v>
      </c>
      <c r="C1405" s="337">
        <v>40774</v>
      </c>
      <c r="D1405" s="338" t="s">
        <v>6473</v>
      </c>
      <c r="E1405" s="338" t="s">
        <v>6472</v>
      </c>
      <c r="F1405" s="338"/>
      <c r="G1405" s="338" t="s">
        <v>413</v>
      </c>
      <c r="H1405" s="338" t="s">
        <v>412</v>
      </c>
      <c r="I1405" s="338" t="s">
        <v>411</v>
      </c>
      <c r="J1405" s="339"/>
      <c r="K1405" s="339"/>
      <c r="L1405" s="339" t="s">
        <v>409</v>
      </c>
      <c r="M1405" s="339" t="s">
        <v>409</v>
      </c>
      <c r="N1405" s="338" t="s">
        <v>417</v>
      </c>
      <c r="O1405" s="338" t="s">
        <v>409</v>
      </c>
      <c r="P1405" s="338" t="s">
        <v>443</v>
      </c>
    </row>
    <row r="1406" spans="2:16" x14ac:dyDescent="0.25">
      <c r="B1406" s="336" t="s">
        <v>459</v>
      </c>
      <c r="C1406" s="337">
        <v>40773</v>
      </c>
      <c r="D1406" s="338" t="s">
        <v>538</v>
      </c>
      <c r="E1406" s="338" t="s">
        <v>2881</v>
      </c>
      <c r="F1406" s="338"/>
      <c r="G1406" s="338">
        <v>204</v>
      </c>
      <c r="H1406" s="338" t="s">
        <v>425</v>
      </c>
      <c r="I1406" s="338" t="s">
        <v>411</v>
      </c>
      <c r="J1406" s="339">
        <v>0.21088399999999999</v>
      </c>
      <c r="K1406" s="339">
        <v>238.93199999999999</v>
      </c>
      <c r="L1406" s="339" t="s">
        <v>409</v>
      </c>
      <c r="M1406" s="339" t="s">
        <v>409</v>
      </c>
      <c r="N1406" s="338" t="s">
        <v>417</v>
      </c>
      <c r="O1406" s="338" t="s">
        <v>409</v>
      </c>
      <c r="P1406" s="338" t="s">
        <v>432</v>
      </c>
    </row>
    <row r="1407" spans="2:16" x14ac:dyDescent="0.25">
      <c r="B1407" s="336" t="s">
        <v>459</v>
      </c>
      <c r="C1407" s="337">
        <v>40773</v>
      </c>
      <c r="D1407" s="338" t="s">
        <v>6471</v>
      </c>
      <c r="E1407" s="338" t="s">
        <v>6470</v>
      </c>
      <c r="F1407" s="338"/>
      <c r="G1407" s="338">
        <v>10.5</v>
      </c>
      <c r="H1407" s="338" t="s">
        <v>425</v>
      </c>
      <c r="I1407" s="338" t="s">
        <v>411</v>
      </c>
      <c r="J1407" s="339"/>
      <c r="K1407" s="339"/>
      <c r="L1407" s="339" t="s">
        <v>409</v>
      </c>
      <c r="M1407" s="339" t="s">
        <v>409</v>
      </c>
      <c r="N1407" s="338" t="s">
        <v>432</v>
      </c>
      <c r="O1407" s="338" t="s">
        <v>409</v>
      </c>
      <c r="P1407" s="338"/>
    </row>
    <row r="1408" spans="2:16" x14ac:dyDescent="0.25">
      <c r="B1408" s="336" t="s">
        <v>416</v>
      </c>
      <c r="C1408" s="337">
        <v>40772</v>
      </c>
      <c r="D1408" s="338" t="s">
        <v>6469</v>
      </c>
      <c r="E1408" s="338" t="s">
        <v>1926</v>
      </c>
      <c r="F1408" s="338"/>
      <c r="G1408" s="338">
        <v>205</v>
      </c>
      <c r="H1408" s="338" t="s">
        <v>425</v>
      </c>
      <c r="I1408" s="338" t="s">
        <v>411</v>
      </c>
      <c r="J1408" s="339"/>
      <c r="K1408" s="339"/>
      <c r="L1408" s="339" t="s">
        <v>409</v>
      </c>
      <c r="M1408" s="339" t="s">
        <v>409</v>
      </c>
      <c r="N1408" s="338" t="s">
        <v>432</v>
      </c>
      <c r="O1408" s="338" t="s">
        <v>409</v>
      </c>
      <c r="P1408" s="338" t="s">
        <v>417</v>
      </c>
    </row>
    <row r="1409" spans="2:16" x14ac:dyDescent="0.25">
      <c r="B1409" s="336" t="s">
        <v>416</v>
      </c>
      <c r="C1409" s="337">
        <v>40772</v>
      </c>
      <c r="D1409" s="338" t="s">
        <v>6468</v>
      </c>
      <c r="E1409" s="338" t="s">
        <v>6467</v>
      </c>
      <c r="F1409" s="338"/>
      <c r="G1409" s="338" t="s">
        <v>413</v>
      </c>
      <c r="H1409" s="338" t="s">
        <v>412</v>
      </c>
      <c r="I1409" s="338" t="s">
        <v>411</v>
      </c>
      <c r="J1409" s="339"/>
      <c r="K1409" s="339"/>
      <c r="L1409" s="339" t="s">
        <v>409</v>
      </c>
      <c r="M1409" s="339" t="s">
        <v>409</v>
      </c>
      <c r="N1409" s="338" t="s">
        <v>417</v>
      </c>
      <c r="O1409" s="338" t="s">
        <v>409</v>
      </c>
      <c r="P1409" s="338" t="s">
        <v>410</v>
      </c>
    </row>
    <row r="1410" spans="2:16" x14ac:dyDescent="0.25">
      <c r="B1410" s="336" t="s">
        <v>459</v>
      </c>
      <c r="C1410" s="337">
        <v>40772</v>
      </c>
      <c r="D1410" s="338" t="s">
        <v>6115</v>
      </c>
      <c r="E1410" s="338" t="s">
        <v>6466</v>
      </c>
      <c r="F1410" s="338"/>
      <c r="G1410" s="338">
        <v>10</v>
      </c>
      <c r="H1410" s="338" t="s">
        <v>425</v>
      </c>
      <c r="I1410" s="338" t="s">
        <v>411</v>
      </c>
      <c r="J1410" s="339"/>
      <c r="K1410" s="339"/>
      <c r="L1410" s="339" t="s">
        <v>409</v>
      </c>
      <c r="M1410" s="339" t="s">
        <v>409</v>
      </c>
      <c r="N1410" s="338" t="s">
        <v>410</v>
      </c>
      <c r="O1410" s="338" t="s">
        <v>409</v>
      </c>
      <c r="P1410" s="338"/>
    </row>
    <row r="1411" spans="2:16" x14ac:dyDescent="0.25">
      <c r="B1411" s="336" t="s">
        <v>416</v>
      </c>
      <c r="C1411" s="337">
        <v>40771</v>
      </c>
      <c r="D1411" s="338" t="s">
        <v>6465</v>
      </c>
      <c r="E1411" s="338" t="s">
        <v>2399</v>
      </c>
      <c r="F1411" s="338" t="s">
        <v>2764</v>
      </c>
      <c r="G1411" s="338">
        <v>58.4</v>
      </c>
      <c r="H1411" s="338" t="s">
        <v>425</v>
      </c>
      <c r="I1411" s="338" t="s">
        <v>411</v>
      </c>
      <c r="J1411" s="339"/>
      <c r="K1411" s="339"/>
      <c r="L1411" s="339">
        <v>2.5831599999999999</v>
      </c>
      <c r="M1411" s="339">
        <v>418.44600000000003</v>
      </c>
      <c r="N1411" s="338"/>
      <c r="O1411" s="338" t="s">
        <v>417</v>
      </c>
      <c r="P1411" s="338" t="s">
        <v>410</v>
      </c>
    </row>
    <row r="1412" spans="2:16" x14ac:dyDescent="0.25">
      <c r="B1412" s="336" t="s">
        <v>416</v>
      </c>
      <c r="C1412" s="337">
        <v>40771</v>
      </c>
      <c r="D1412" s="338" t="s">
        <v>6464</v>
      </c>
      <c r="E1412" s="338" t="s">
        <v>4930</v>
      </c>
      <c r="F1412" s="338" t="s">
        <v>1249</v>
      </c>
      <c r="G1412" s="338" t="s">
        <v>413</v>
      </c>
      <c r="H1412" s="338" t="s">
        <v>425</v>
      </c>
      <c r="I1412" s="338" t="s">
        <v>411</v>
      </c>
      <c r="J1412" s="339"/>
      <c r="K1412" s="339"/>
      <c r="L1412" s="339">
        <v>1.74013</v>
      </c>
      <c r="M1412" s="339">
        <v>11.651400000000001</v>
      </c>
      <c r="N1412" s="338"/>
      <c r="O1412" s="338" t="s">
        <v>417</v>
      </c>
      <c r="P1412" s="338" t="s">
        <v>417</v>
      </c>
    </row>
    <row r="1413" spans="2:16" x14ac:dyDescent="0.25">
      <c r="B1413" s="336" t="s">
        <v>459</v>
      </c>
      <c r="C1413" s="337">
        <v>40771</v>
      </c>
      <c r="D1413" s="338" t="s">
        <v>6463</v>
      </c>
      <c r="E1413" s="338" t="s">
        <v>6462</v>
      </c>
      <c r="F1413" s="338"/>
      <c r="G1413" s="338">
        <v>25</v>
      </c>
      <c r="H1413" s="338" t="s">
        <v>425</v>
      </c>
      <c r="I1413" s="338" t="s">
        <v>411</v>
      </c>
      <c r="J1413" s="339"/>
      <c r="K1413" s="339"/>
      <c r="L1413" s="339" t="s">
        <v>409</v>
      </c>
      <c r="M1413" s="339" t="s">
        <v>409</v>
      </c>
      <c r="N1413" s="338" t="s">
        <v>432</v>
      </c>
      <c r="O1413" s="338" t="s">
        <v>409</v>
      </c>
      <c r="P1413" s="338" t="s">
        <v>443</v>
      </c>
    </row>
    <row r="1414" spans="2:16" x14ac:dyDescent="0.25">
      <c r="B1414" s="336" t="s">
        <v>416</v>
      </c>
      <c r="C1414" s="337">
        <v>40771</v>
      </c>
      <c r="D1414" s="338" t="s">
        <v>6461</v>
      </c>
      <c r="E1414" s="338" t="s">
        <v>441</v>
      </c>
      <c r="F1414" s="338" t="s">
        <v>4928</v>
      </c>
      <c r="G1414" s="338" t="s">
        <v>413</v>
      </c>
      <c r="H1414" s="338" t="s">
        <v>425</v>
      </c>
      <c r="I1414" s="338" t="s">
        <v>411</v>
      </c>
      <c r="J1414" s="339"/>
      <c r="K1414" s="339"/>
      <c r="L1414" s="339">
        <v>1.1862999999999999</v>
      </c>
      <c r="M1414" s="339">
        <v>8.0235699999999994</v>
      </c>
      <c r="N1414" s="338"/>
      <c r="O1414" s="338" t="s">
        <v>408</v>
      </c>
      <c r="P1414" s="338" t="s">
        <v>417</v>
      </c>
    </row>
    <row r="1415" spans="2:16" x14ac:dyDescent="0.25">
      <c r="B1415" s="336" t="s">
        <v>459</v>
      </c>
      <c r="C1415" s="337">
        <v>40771</v>
      </c>
      <c r="D1415" s="338" t="s">
        <v>2683</v>
      </c>
      <c r="E1415" s="338" t="s">
        <v>669</v>
      </c>
      <c r="F1415" s="338"/>
      <c r="G1415" s="338">
        <v>3.1</v>
      </c>
      <c r="H1415" s="338" t="s">
        <v>425</v>
      </c>
      <c r="I1415" s="338" t="s">
        <v>411</v>
      </c>
      <c r="J1415" s="339"/>
      <c r="K1415" s="339"/>
      <c r="L1415" s="339" t="s">
        <v>409</v>
      </c>
      <c r="M1415" s="339" t="s">
        <v>409</v>
      </c>
      <c r="N1415" s="338" t="s">
        <v>432</v>
      </c>
      <c r="O1415" s="338" t="s">
        <v>409</v>
      </c>
      <c r="P1415" s="338"/>
    </row>
    <row r="1416" spans="2:16" x14ac:dyDescent="0.25">
      <c r="B1416" s="336" t="s">
        <v>416</v>
      </c>
      <c r="C1416" s="337">
        <v>40771</v>
      </c>
      <c r="D1416" s="338" t="s">
        <v>945</v>
      </c>
      <c r="E1416" s="338" t="s">
        <v>6460</v>
      </c>
      <c r="F1416" s="338" t="s">
        <v>6459</v>
      </c>
      <c r="G1416" s="338" t="s">
        <v>413</v>
      </c>
      <c r="H1416" s="338" t="s">
        <v>425</v>
      </c>
      <c r="I1416" s="338" t="s">
        <v>411</v>
      </c>
      <c r="J1416" s="339"/>
      <c r="K1416" s="339"/>
      <c r="L1416" s="339"/>
      <c r="M1416" s="339"/>
      <c r="N1416" s="338"/>
      <c r="O1416" s="338" t="s">
        <v>417</v>
      </c>
      <c r="P1416" s="338"/>
    </row>
    <row r="1417" spans="2:16" x14ac:dyDescent="0.25">
      <c r="B1417" s="336" t="s">
        <v>416</v>
      </c>
      <c r="C1417" s="337">
        <v>40767</v>
      </c>
      <c r="D1417" s="338" t="s">
        <v>3488</v>
      </c>
      <c r="E1417" s="338" t="s">
        <v>6458</v>
      </c>
      <c r="F1417" s="338" t="s">
        <v>6457</v>
      </c>
      <c r="G1417" s="338">
        <v>5</v>
      </c>
      <c r="H1417" s="338" t="s">
        <v>425</v>
      </c>
      <c r="I1417" s="338" t="s">
        <v>411</v>
      </c>
      <c r="J1417" s="339"/>
      <c r="K1417" s="339"/>
      <c r="L1417" s="339"/>
      <c r="M1417" s="339"/>
      <c r="N1417" s="338"/>
      <c r="O1417" s="338" t="s">
        <v>410</v>
      </c>
      <c r="P1417" s="338" t="s">
        <v>443</v>
      </c>
    </row>
    <row r="1418" spans="2:16" x14ac:dyDescent="0.25">
      <c r="B1418" s="336" t="s">
        <v>416</v>
      </c>
      <c r="C1418" s="337">
        <v>40766</v>
      </c>
      <c r="D1418" s="338" t="s">
        <v>6456</v>
      </c>
      <c r="E1418" s="338" t="s">
        <v>2402</v>
      </c>
      <c r="F1418" s="338"/>
      <c r="G1418" s="338" t="s">
        <v>413</v>
      </c>
      <c r="H1418" s="338" t="s">
        <v>412</v>
      </c>
      <c r="I1418" s="338" t="s">
        <v>411</v>
      </c>
      <c r="J1418" s="339"/>
      <c r="K1418" s="339"/>
      <c r="L1418" s="339" t="s">
        <v>409</v>
      </c>
      <c r="M1418" s="339" t="s">
        <v>409</v>
      </c>
      <c r="N1418" s="338" t="s">
        <v>417</v>
      </c>
      <c r="O1418" s="338" t="s">
        <v>409</v>
      </c>
      <c r="P1418" s="338" t="s">
        <v>417</v>
      </c>
    </row>
    <row r="1419" spans="2:16" x14ac:dyDescent="0.25">
      <c r="B1419" s="336" t="s">
        <v>459</v>
      </c>
      <c r="C1419" s="337">
        <v>40765</v>
      </c>
      <c r="D1419" s="338" t="s">
        <v>6455</v>
      </c>
      <c r="E1419" s="338" t="s">
        <v>6454</v>
      </c>
      <c r="F1419" s="338"/>
      <c r="G1419" s="338" t="s">
        <v>413</v>
      </c>
      <c r="H1419" s="338" t="s">
        <v>412</v>
      </c>
      <c r="I1419" s="338" t="s">
        <v>411</v>
      </c>
      <c r="J1419" s="339"/>
      <c r="K1419" s="339"/>
      <c r="L1419" s="339" t="s">
        <v>409</v>
      </c>
      <c r="M1419" s="339" t="s">
        <v>409</v>
      </c>
      <c r="N1419" s="338" t="s">
        <v>417</v>
      </c>
      <c r="O1419" s="338" t="s">
        <v>409</v>
      </c>
      <c r="P1419" s="338" t="s">
        <v>417</v>
      </c>
    </row>
    <row r="1420" spans="2:16" x14ac:dyDescent="0.25">
      <c r="B1420" s="336" t="s">
        <v>416</v>
      </c>
      <c r="C1420" s="337">
        <v>40763</v>
      </c>
      <c r="D1420" s="338" t="s">
        <v>6453</v>
      </c>
      <c r="E1420" s="338" t="s">
        <v>6452</v>
      </c>
      <c r="F1420" s="338" t="s">
        <v>6262</v>
      </c>
      <c r="G1420" s="338" t="s">
        <v>413</v>
      </c>
      <c r="H1420" s="338" t="s">
        <v>425</v>
      </c>
      <c r="I1420" s="338" t="s">
        <v>411</v>
      </c>
      <c r="J1420" s="339"/>
      <c r="K1420" s="339"/>
      <c r="L1420" s="339"/>
      <c r="M1420" s="339"/>
      <c r="N1420" s="338"/>
      <c r="O1420" s="338" t="s">
        <v>417</v>
      </c>
      <c r="P1420" s="338" t="s">
        <v>443</v>
      </c>
    </row>
    <row r="1421" spans="2:16" x14ac:dyDescent="0.25">
      <c r="B1421" s="336" t="s">
        <v>416</v>
      </c>
      <c r="C1421" s="337">
        <v>40763</v>
      </c>
      <c r="D1421" s="338" t="s">
        <v>6451</v>
      </c>
      <c r="E1421" s="338" t="s">
        <v>669</v>
      </c>
      <c r="F1421" s="338" t="s">
        <v>6450</v>
      </c>
      <c r="G1421" s="338">
        <v>44.6</v>
      </c>
      <c r="H1421" s="338" t="s">
        <v>425</v>
      </c>
      <c r="I1421" s="338" t="s">
        <v>411</v>
      </c>
      <c r="J1421" s="339"/>
      <c r="K1421" s="339"/>
      <c r="L1421" s="339">
        <v>8.9304100000000002</v>
      </c>
      <c r="M1421" s="339">
        <v>15.2394</v>
      </c>
      <c r="N1421" s="338"/>
      <c r="O1421" s="338" t="s">
        <v>443</v>
      </c>
      <c r="P1421" s="338"/>
    </row>
    <row r="1422" spans="2:16" x14ac:dyDescent="0.25">
      <c r="B1422" s="336" t="s">
        <v>416</v>
      </c>
      <c r="C1422" s="337">
        <v>40762</v>
      </c>
      <c r="D1422" s="338" t="s">
        <v>6449</v>
      </c>
      <c r="E1422" s="338" t="s">
        <v>6448</v>
      </c>
      <c r="F1422" s="338"/>
      <c r="G1422" s="338" t="s">
        <v>413</v>
      </c>
      <c r="H1422" s="338" t="s">
        <v>425</v>
      </c>
      <c r="I1422" s="338" t="s">
        <v>411</v>
      </c>
      <c r="J1422" s="339"/>
      <c r="K1422" s="339"/>
      <c r="L1422" s="339" t="s">
        <v>409</v>
      </c>
      <c r="M1422" s="339" t="s">
        <v>409</v>
      </c>
      <c r="N1422" s="338"/>
      <c r="O1422" s="338" t="s">
        <v>409</v>
      </c>
      <c r="P1422" s="338" t="s">
        <v>417</v>
      </c>
    </row>
    <row r="1423" spans="2:16" x14ac:dyDescent="0.25">
      <c r="B1423" s="336" t="s">
        <v>416</v>
      </c>
      <c r="C1423" s="337">
        <v>40760</v>
      </c>
      <c r="D1423" s="338" t="s">
        <v>552</v>
      </c>
      <c r="E1423" s="338" t="s">
        <v>6447</v>
      </c>
      <c r="F1423" s="338" t="s">
        <v>6446</v>
      </c>
      <c r="G1423" s="338">
        <v>2.5</v>
      </c>
      <c r="H1423" s="338" t="s">
        <v>429</v>
      </c>
      <c r="I1423" s="338" t="s">
        <v>411</v>
      </c>
      <c r="J1423" s="339"/>
      <c r="K1423" s="339"/>
      <c r="L1423" s="339"/>
      <c r="M1423" s="339"/>
      <c r="N1423" s="338"/>
      <c r="O1423" s="338" t="s">
        <v>487</v>
      </c>
      <c r="P1423" s="338" t="s">
        <v>417</v>
      </c>
    </row>
    <row r="1424" spans="2:16" x14ac:dyDescent="0.25">
      <c r="B1424" s="336" t="s">
        <v>416</v>
      </c>
      <c r="C1424" s="337">
        <v>40760</v>
      </c>
      <c r="D1424" s="338" t="s">
        <v>6445</v>
      </c>
      <c r="E1424" s="338" t="s">
        <v>6444</v>
      </c>
      <c r="F1424" s="338"/>
      <c r="G1424" s="338">
        <v>47.5</v>
      </c>
      <c r="H1424" s="338" t="s">
        <v>425</v>
      </c>
      <c r="I1424" s="338" t="s">
        <v>411</v>
      </c>
      <c r="J1424" s="339"/>
      <c r="K1424" s="339"/>
      <c r="L1424" s="339" t="s">
        <v>409</v>
      </c>
      <c r="M1424" s="339" t="s">
        <v>409</v>
      </c>
      <c r="N1424" s="338" t="s">
        <v>410</v>
      </c>
      <c r="O1424" s="338" t="s">
        <v>409</v>
      </c>
      <c r="P1424" s="338" t="s">
        <v>417</v>
      </c>
    </row>
    <row r="1425" spans="2:16" x14ac:dyDescent="0.25">
      <c r="B1425" s="336" t="s">
        <v>416</v>
      </c>
      <c r="C1425" s="337">
        <v>40759</v>
      </c>
      <c r="D1425" s="338" t="s">
        <v>6443</v>
      </c>
      <c r="E1425" s="338" t="s">
        <v>6442</v>
      </c>
      <c r="F1425" s="338"/>
      <c r="G1425" s="338" t="s">
        <v>413</v>
      </c>
      <c r="H1425" s="338" t="s">
        <v>412</v>
      </c>
      <c r="I1425" s="338" t="s">
        <v>411</v>
      </c>
      <c r="J1425" s="339"/>
      <c r="K1425" s="339"/>
      <c r="L1425" s="339" t="s">
        <v>409</v>
      </c>
      <c r="M1425" s="339" t="s">
        <v>409</v>
      </c>
      <c r="N1425" s="338" t="s">
        <v>410</v>
      </c>
      <c r="O1425" s="338" t="s">
        <v>409</v>
      </c>
      <c r="P1425" s="338" t="s">
        <v>410</v>
      </c>
    </row>
    <row r="1426" spans="2:16" x14ac:dyDescent="0.25">
      <c r="B1426" s="336" t="s">
        <v>416</v>
      </c>
      <c r="C1426" s="337">
        <v>40758</v>
      </c>
      <c r="D1426" s="338" t="s">
        <v>6441</v>
      </c>
      <c r="E1426" s="338" t="s">
        <v>6440</v>
      </c>
      <c r="F1426" s="338" t="s">
        <v>6439</v>
      </c>
      <c r="G1426" s="338" t="s">
        <v>413</v>
      </c>
      <c r="H1426" s="338" t="s">
        <v>425</v>
      </c>
      <c r="I1426" s="338" t="s">
        <v>411</v>
      </c>
      <c r="J1426" s="339"/>
      <c r="K1426" s="339"/>
      <c r="L1426" s="339"/>
      <c r="M1426" s="339"/>
      <c r="N1426" s="338"/>
      <c r="O1426" s="338" t="s">
        <v>432</v>
      </c>
      <c r="P1426" s="338"/>
    </row>
    <row r="1427" spans="2:16" x14ac:dyDescent="0.25">
      <c r="B1427" s="336" t="s">
        <v>416</v>
      </c>
      <c r="C1427" s="337">
        <v>40758</v>
      </c>
      <c r="D1427" s="338" t="s">
        <v>6438</v>
      </c>
      <c r="E1427" s="338" t="s">
        <v>6437</v>
      </c>
      <c r="F1427" s="338" t="s">
        <v>5853</v>
      </c>
      <c r="G1427" s="338">
        <v>228</v>
      </c>
      <c r="H1427" s="338" t="s">
        <v>425</v>
      </c>
      <c r="I1427" s="338" t="s">
        <v>411</v>
      </c>
      <c r="J1427" s="339"/>
      <c r="K1427" s="339"/>
      <c r="L1427" s="339">
        <v>9.9055700000000009</v>
      </c>
      <c r="M1427" s="339">
        <v>11.4587</v>
      </c>
      <c r="N1427" s="338" t="s">
        <v>487</v>
      </c>
      <c r="O1427" s="338" t="s">
        <v>443</v>
      </c>
      <c r="P1427" s="338" t="s">
        <v>443</v>
      </c>
    </row>
    <row r="1428" spans="2:16" x14ac:dyDescent="0.25">
      <c r="B1428" s="336" t="s">
        <v>416</v>
      </c>
      <c r="C1428" s="337">
        <v>40758</v>
      </c>
      <c r="D1428" s="338" t="s">
        <v>945</v>
      </c>
      <c r="E1428" s="338" t="s">
        <v>6436</v>
      </c>
      <c r="F1428" s="338" t="s">
        <v>6435</v>
      </c>
      <c r="G1428" s="338">
        <v>10.5</v>
      </c>
      <c r="H1428" s="338" t="s">
        <v>425</v>
      </c>
      <c r="I1428" s="338" t="s">
        <v>411</v>
      </c>
      <c r="J1428" s="339"/>
      <c r="K1428" s="339"/>
      <c r="L1428" s="339">
        <v>1.73454</v>
      </c>
      <c r="M1428" s="339">
        <v>26.942</v>
      </c>
      <c r="N1428" s="338"/>
      <c r="O1428" s="338" t="s">
        <v>605</v>
      </c>
      <c r="P1428" s="338" t="s">
        <v>487</v>
      </c>
    </row>
    <row r="1429" spans="2:16" x14ac:dyDescent="0.25">
      <c r="B1429" s="336" t="s">
        <v>416</v>
      </c>
      <c r="C1429" s="337">
        <v>40756</v>
      </c>
      <c r="D1429" s="338" t="s">
        <v>945</v>
      </c>
      <c r="E1429" s="338" t="s">
        <v>6434</v>
      </c>
      <c r="F1429" s="338" t="s">
        <v>1301</v>
      </c>
      <c r="G1429" s="338">
        <v>129</v>
      </c>
      <c r="H1429" s="338" t="s">
        <v>425</v>
      </c>
      <c r="I1429" s="338" t="s">
        <v>411</v>
      </c>
      <c r="J1429" s="339"/>
      <c r="K1429" s="339"/>
      <c r="L1429" s="339">
        <v>0.64332500000000004</v>
      </c>
      <c r="M1429" s="339">
        <v>44.3489</v>
      </c>
      <c r="N1429" s="338"/>
      <c r="O1429" s="338" t="s">
        <v>417</v>
      </c>
      <c r="P1429" s="338" t="s">
        <v>487</v>
      </c>
    </row>
    <row r="1430" spans="2:16" x14ac:dyDescent="0.25">
      <c r="B1430" s="336" t="s">
        <v>416</v>
      </c>
      <c r="C1430" s="337">
        <v>40756</v>
      </c>
      <c r="D1430" s="338" t="s">
        <v>6433</v>
      </c>
      <c r="E1430" s="338" t="s">
        <v>2023</v>
      </c>
      <c r="F1430" s="338"/>
      <c r="G1430" s="338" t="s">
        <v>413</v>
      </c>
      <c r="H1430" s="338" t="s">
        <v>425</v>
      </c>
      <c r="I1430" s="338" t="s">
        <v>411</v>
      </c>
      <c r="J1430" s="339"/>
      <c r="K1430" s="339"/>
      <c r="L1430" s="339" t="s">
        <v>409</v>
      </c>
      <c r="M1430" s="339" t="s">
        <v>409</v>
      </c>
      <c r="N1430" s="338" t="s">
        <v>417</v>
      </c>
      <c r="O1430" s="338" t="s">
        <v>409</v>
      </c>
      <c r="P1430" s="338" t="s">
        <v>443</v>
      </c>
    </row>
    <row r="1431" spans="2:16" x14ac:dyDescent="0.25">
      <c r="B1431" s="336" t="s">
        <v>416</v>
      </c>
      <c r="C1431" s="337">
        <v>40756</v>
      </c>
      <c r="D1431" s="338" t="s">
        <v>6432</v>
      </c>
      <c r="E1431" s="338" t="s">
        <v>6431</v>
      </c>
      <c r="F1431" s="338" t="s">
        <v>6430</v>
      </c>
      <c r="G1431" s="338" t="s">
        <v>413</v>
      </c>
      <c r="H1431" s="338" t="s">
        <v>336</v>
      </c>
      <c r="I1431" s="338" t="s">
        <v>411</v>
      </c>
      <c r="J1431" s="339"/>
      <c r="K1431" s="339"/>
      <c r="L1431" s="339"/>
      <c r="M1431" s="339"/>
      <c r="N1431" s="338" t="s">
        <v>432</v>
      </c>
      <c r="O1431" s="338"/>
      <c r="P1431" s="338" t="s">
        <v>432</v>
      </c>
    </row>
    <row r="1432" spans="2:16" x14ac:dyDescent="0.25">
      <c r="B1432" s="336" t="s">
        <v>459</v>
      </c>
      <c r="C1432" s="337">
        <v>40756</v>
      </c>
      <c r="D1432" s="338" t="s">
        <v>6429</v>
      </c>
      <c r="E1432" s="338" t="s">
        <v>6428</v>
      </c>
      <c r="F1432" s="338"/>
      <c r="G1432" s="338">
        <v>1.2</v>
      </c>
      <c r="H1432" s="338" t="s">
        <v>425</v>
      </c>
      <c r="I1432" s="338" t="s">
        <v>411</v>
      </c>
      <c r="J1432" s="339"/>
      <c r="K1432" s="339"/>
      <c r="L1432" s="339" t="s">
        <v>409</v>
      </c>
      <c r="M1432" s="339" t="s">
        <v>409</v>
      </c>
      <c r="N1432" s="338" t="s">
        <v>417</v>
      </c>
      <c r="O1432" s="338" t="s">
        <v>409</v>
      </c>
      <c r="P1432" s="338"/>
    </row>
    <row r="1433" spans="2:16" x14ac:dyDescent="0.25">
      <c r="B1433" s="336" t="s">
        <v>416</v>
      </c>
      <c r="C1433" s="337">
        <v>40756</v>
      </c>
      <c r="D1433" s="338" t="s">
        <v>6427</v>
      </c>
      <c r="E1433" s="338" t="s">
        <v>3293</v>
      </c>
      <c r="F1433" s="338"/>
      <c r="G1433" s="338" t="s">
        <v>413</v>
      </c>
      <c r="H1433" s="338" t="s">
        <v>425</v>
      </c>
      <c r="I1433" s="338" t="s">
        <v>411</v>
      </c>
      <c r="J1433" s="339"/>
      <c r="K1433" s="339"/>
      <c r="L1433" s="339" t="s">
        <v>409</v>
      </c>
      <c r="M1433" s="339" t="s">
        <v>409</v>
      </c>
      <c r="N1433" s="338" t="s">
        <v>487</v>
      </c>
      <c r="O1433" s="338" t="s">
        <v>409</v>
      </c>
      <c r="P1433" s="338" t="s">
        <v>443</v>
      </c>
    </row>
    <row r="1434" spans="2:16" x14ac:dyDescent="0.25">
      <c r="B1434" s="336" t="s">
        <v>459</v>
      </c>
      <c r="C1434" s="337">
        <v>40755</v>
      </c>
      <c r="D1434" s="338" t="s">
        <v>6426</v>
      </c>
      <c r="E1434" s="338" t="s">
        <v>6425</v>
      </c>
      <c r="F1434" s="338"/>
      <c r="G1434" s="338" t="s">
        <v>413</v>
      </c>
      <c r="H1434" s="338" t="s">
        <v>425</v>
      </c>
      <c r="I1434" s="338" t="s">
        <v>411</v>
      </c>
      <c r="J1434" s="339"/>
      <c r="K1434" s="339"/>
      <c r="L1434" s="339" t="s">
        <v>409</v>
      </c>
      <c r="M1434" s="339" t="s">
        <v>409</v>
      </c>
      <c r="N1434" s="338" t="s">
        <v>410</v>
      </c>
      <c r="O1434" s="338" t="s">
        <v>409</v>
      </c>
      <c r="P1434" s="338" t="s">
        <v>443</v>
      </c>
    </row>
    <row r="1435" spans="2:16" x14ac:dyDescent="0.25">
      <c r="B1435" s="336" t="s">
        <v>416</v>
      </c>
      <c r="C1435" s="337">
        <v>40753</v>
      </c>
      <c r="D1435" s="338" t="s">
        <v>6424</v>
      </c>
      <c r="E1435" s="338" t="s">
        <v>2218</v>
      </c>
      <c r="F1435" s="338" t="s">
        <v>6423</v>
      </c>
      <c r="G1435" s="338" t="s">
        <v>413</v>
      </c>
      <c r="H1435" s="338" t="s">
        <v>425</v>
      </c>
      <c r="I1435" s="338" t="s">
        <v>411</v>
      </c>
      <c r="J1435" s="339"/>
      <c r="K1435" s="339"/>
      <c r="L1435" s="339"/>
      <c r="M1435" s="339"/>
      <c r="N1435" s="338"/>
      <c r="O1435" s="338" t="s">
        <v>443</v>
      </c>
      <c r="P1435" s="338" t="s">
        <v>443</v>
      </c>
    </row>
    <row r="1436" spans="2:16" x14ac:dyDescent="0.25">
      <c r="B1436" s="336" t="s">
        <v>1441</v>
      </c>
      <c r="C1436" s="337">
        <v>40752</v>
      </c>
      <c r="D1436" s="338" t="s">
        <v>6422</v>
      </c>
      <c r="E1436" s="338" t="s">
        <v>2090</v>
      </c>
      <c r="F1436" s="338"/>
      <c r="G1436" s="338" t="s">
        <v>413</v>
      </c>
      <c r="H1436" s="338" t="s">
        <v>412</v>
      </c>
      <c r="I1436" s="338" t="s">
        <v>1243</v>
      </c>
      <c r="J1436" s="339"/>
      <c r="K1436" s="339"/>
      <c r="L1436" s="339" t="s">
        <v>409</v>
      </c>
      <c r="M1436" s="339" t="s">
        <v>409</v>
      </c>
      <c r="N1436" s="338" t="s">
        <v>417</v>
      </c>
      <c r="O1436" s="338" t="s">
        <v>409</v>
      </c>
      <c r="P1436" s="338" t="s">
        <v>417</v>
      </c>
    </row>
    <row r="1437" spans="2:16" x14ac:dyDescent="0.25">
      <c r="B1437" s="336" t="s">
        <v>1441</v>
      </c>
      <c r="C1437" s="337">
        <v>40751</v>
      </c>
      <c r="D1437" s="338" t="s">
        <v>6421</v>
      </c>
      <c r="E1437" s="338" t="s">
        <v>6420</v>
      </c>
      <c r="F1437" s="338"/>
      <c r="G1437" s="338" t="s">
        <v>413</v>
      </c>
      <c r="H1437" s="338" t="s">
        <v>412</v>
      </c>
      <c r="I1437" s="338" t="s">
        <v>1243</v>
      </c>
      <c r="J1437" s="339">
        <v>1.1813199999999999</v>
      </c>
      <c r="K1437" s="339">
        <v>13.3856</v>
      </c>
      <c r="L1437" s="339" t="s">
        <v>409</v>
      </c>
      <c r="M1437" s="339" t="s">
        <v>409</v>
      </c>
      <c r="N1437" s="338" t="s">
        <v>417</v>
      </c>
      <c r="O1437" s="338" t="s">
        <v>409</v>
      </c>
      <c r="P1437" s="338" t="s">
        <v>417</v>
      </c>
    </row>
    <row r="1438" spans="2:16" x14ac:dyDescent="0.25">
      <c r="B1438" s="336" t="s">
        <v>416</v>
      </c>
      <c r="C1438" s="337">
        <v>40751</v>
      </c>
      <c r="D1438" s="338" t="s">
        <v>6419</v>
      </c>
      <c r="E1438" s="338" t="s">
        <v>3363</v>
      </c>
      <c r="F1438" s="338" t="s">
        <v>6418</v>
      </c>
      <c r="G1438" s="338" t="s">
        <v>413</v>
      </c>
      <c r="H1438" s="338" t="s">
        <v>425</v>
      </c>
      <c r="I1438" s="338" t="s">
        <v>411</v>
      </c>
      <c r="J1438" s="339"/>
      <c r="K1438" s="339"/>
      <c r="L1438" s="339"/>
      <c r="M1438" s="339"/>
      <c r="N1438" s="338"/>
      <c r="O1438" s="338"/>
      <c r="P1438" s="338" t="s">
        <v>417</v>
      </c>
    </row>
    <row r="1439" spans="2:16" x14ac:dyDescent="0.25">
      <c r="B1439" s="336" t="s">
        <v>416</v>
      </c>
      <c r="C1439" s="337">
        <v>40750</v>
      </c>
      <c r="D1439" s="338" t="s">
        <v>6417</v>
      </c>
      <c r="E1439" s="338" t="s">
        <v>6416</v>
      </c>
      <c r="F1439" s="338" t="s">
        <v>6415</v>
      </c>
      <c r="G1439" s="338" t="s">
        <v>413</v>
      </c>
      <c r="H1439" s="338" t="s">
        <v>425</v>
      </c>
      <c r="I1439" s="338" t="s">
        <v>411</v>
      </c>
      <c r="J1439" s="339"/>
      <c r="K1439" s="339"/>
      <c r="L1439" s="339"/>
      <c r="M1439" s="339"/>
      <c r="N1439" s="338"/>
      <c r="O1439" s="338" t="s">
        <v>410</v>
      </c>
      <c r="P1439" s="338" t="s">
        <v>443</v>
      </c>
    </row>
    <row r="1440" spans="2:16" x14ac:dyDescent="0.25">
      <c r="B1440" s="336" t="s">
        <v>459</v>
      </c>
      <c r="C1440" s="337">
        <v>40750</v>
      </c>
      <c r="D1440" s="338" t="s">
        <v>6414</v>
      </c>
      <c r="E1440" s="338" t="s">
        <v>6413</v>
      </c>
      <c r="F1440" s="338"/>
      <c r="G1440" s="338">
        <v>0.68</v>
      </c>
      <c r="H1440" s="338" t="s">
        <v>425</v>
      </c>
      <c r="I1440" s="338" t="s">
        <v>411</v>
      </c>
      <c r="J1440" s="339"/>
      <c r="K1440" s="339"/>
      <c r="L1440" s="339" t="s">
        <v>409</v>
      </c>
      <c r="M1440" s="339" t="s">
        <v>409</v>
      </c>
      <c r="N1440" s="338" t="s">
        <v>410</v>
      </c>
      <c r="O1440" s="338" t="s">
        <v>409</v>
      </c>
      <c r="P1440" s="338" t="s">
        <v>443</v>
      </c>
    </row>
    <row r="1441" spans="2:16" x14ac:dyDescent="0.25">
      <c r="B1441" s="336" t="s">
        <v>416</v>
      </c>
      <c r="C1441" s="337">
        <v>40749</v>
      </c>
      <c r="D1441" s="338" t="s">
        <v>6412</v>
      </c>
      <c r="E1441" s="338" t="s">
        <v>6411</v>
      </c>
      <c r="F1441" s="338"/>
      <c r="G1441" s="338" t="s">
        <v>413</v>
      </c>
      <c r="H1441" s="338" t="s">
        <v>412</v>
      </c>
      <c r="I1441" s="338" t="s">
        <v>411</v>
      </c>
      <c r="J1441" s="339"/>
      <c r="K1441" s="339"/>
      <c r="L1441" s="339" t="s">
        <v>409</v>
      </c>
      <c r="M1441" s="339" t="s">
        <v>409</v>
      </c>
      <c r="N1441" s="338" t="s">
        <v>432</v>
      </c>
      <c r="O1441" s="338" t="s">
        <v>409</v>
      </c>
      <c r="P1441" s="338" t="s">
        <v>417</v>
      </c>
    </row>
    <row r="1442" spans="2:16" x14ac:dyDescent="0.25">
      <c r="B1442" s="336" t="s">
        <v>416</v>
      </c>
      <c r="C1442" s="337">
        <v>40749</v>
      </c>
      <c r="D1442" s="338" t="s">
        <v>3700</v>
      </c>
      <c r="E1442" s="338" t="s">
        <v>1197</v>
      </c>
      <c r="F1442" s="338" t="s">
        <v>3699</v>
      </c>
      <c r="G1442" s="338" t="s">
        <v>413</v>
      </c>
      <c r="H1442" s="338" t="s">
        <v>425</v>
      </c>
      <c r="I1442" s="338" t="s">
        <v>411</v>
      </c>
      <c r="J1442" s="339"/>
      <c r="K1442" s="339"/>
      <c r="L1442" s="339"/>
      <c r="M1442" s="339"/>
      <c r="N1442" s="338" t="s">
        <v>417</v>
      </c>
      <c r="O1442" s="338" t="s">
        <v>443</v>
      </c>
      <c r="P1442" s="338" t="s">
        <v>443</v>
      </c>
    </row>
    <row r="1443" spans="2:16" x14ac:dyDescent="0.25">
      <c r="B1443" s="336" t="s">
        <v>459</v>
      </c>
      <c r="C1443" s="337">
        <v>40746</v>
      </c>
      <c r="D1443" s="338" t="s">
        <v>6273</v>
      </c>
      <c r="E1443" s="338" t="s">
        <v>6410</v>
      </c>
      <c r="F1443" s="338"/>
      <c r="G1443" s="338">
        <v>6</v>
      </c>
      <c r="H1443" s="338" t="s">
        <v>425</v>
      </c>
      <c r="I1443" s="338" t="s">
        <v>411</v>
      </c>
      <c r="J1443" s="339"/>
      <c r="K1443" s="339"/>
      <c r="L1443" s="339" t="s">
        <v>409</v>
      </c>
      <c r="M1443" s="339" t="s">
        <v>409</v>
      </c>
      <c r="N1443" s="338" t="s">
        <v>417</v>
      </c>
      <c r="O1443" s="338" t="s">
        <v>409</v>
      </c>
      <c r="P1443" s="338" t="s">
        <v>443</v>
      </c>
    </row>
    <row r="1444" spans="2:16" x14ac:dyDescent="0.25">
      <c r="B1444" s="336" t="s">
        <v>416</v>
      </c>
      <c r="C1444" s="337">
        <v>40745</v>
      </c>
      <c r="D1444" s="338" t="s">
        <v>6409</v>
      </c>
      <c r="E1444" s="338" t="s">
        <v>1322</v>
      </c>
      <c r="F1444" s="338"/>
      <c r="G1444" s="338" t="s">
        <v>413</v>
      </c>
      <c r="H1444" s="338" t="s">
        <v>412</v>
      </c>
      <c r="I1444" s="338" t="s">
        <v>411</v>
      </c>
      <c r="J1444" s="339"/>
      <c r="K1444" s="339"/>
      <c r="L1444" s="339" t="s">
        <v>409</v>
      </c>
      <c r="M1444" s="339" t="s">
        <v>409</v>
      </c>
      <c r="N1444" s="338" t="s">
        <v>417</v>
      </c>
      <c r="O1444" s="338" t="s">
        <v>409</v>
      </c>
      <c r="P1444" s="338" t="s">
        <v>417</v>
      </c>
    </row>
    <row r="1445" spans="2:16" x14ac:dyDescent="0.25">
      <c r="B1445" s="336" t="s">
        <v>459</v>
      </c>
      <c r="C1445" s="337">
        <v>40745</v>
      </c>
      <c r="D1445" s="338" t="s">
        <v>4065</v>
      </c>
      <c r="E1445" s="338" t="s">
        <v>6408</v>
      </c>
      <c r="F1445" s="338"/>
      <c r="G1445" s="338">
        <v>22</v>
      </c>
      <c r="H1445" s="338" t="s">
        <v>425</v>
      </c>
      <c r="I1445" s="338" t="s">
        <v>411</v>
      </c>
      <c r="J1445" s="339"/>
      <c r="K1445" s="339"/>
      <c r="L1445" s="339" t="s">
        <v>409</v>
      </c>
      <c r="M1445" s="339" t="s">
        <v>409</v>
      </c>
      <c r="N1445" s="338" t="s">
        <v>417</v>
      </c>
      <c r="O1445" s="338" t="s">
        <v>409</v>
      </c>
      <c r="P1445" s="338"/>
    </row>
    <row r="1446" spans="2:16" x14ac:dyDescent="0.25">
      <c r="B1446" s="336" t="s">
        <v>416</v>
      </c>
      <c r="C1446" s="337">
        <v>40745</v>
      </c>
      <c r="D1446" s="338" t="s">
        <v>6407</v>
      </c>
      <c r="E1446" s="338" t="s">
        <v>6406</v>
      </c>
      <c r="F1446" s="338"/>
      <c r="G1446" s="338" t="s">
        <v>413</v>
      </c>
      <c r="H1446" s="338" t="s">
        <v>412</v>
      </c>
      <c r="I1446" s="338" t="s">
        <v>411</v>
      </c>
      <c r="J1446" s="339"/>
      <c r="K1446" s="339"/>
      <c r="L1446" s="339" t="s">
        <v>409</v>
      </c>
      <c r="M1446" s="339" t="s">
        <v>409</v>
      </c>
      <c r="N1446" s="338" t="s">
        <v>417</v>
      </c>
      <c r="O1446" s="338" t="s">
        <v>409</v>
      </c>
      <c r="P1446" s="338" t="s">
        <v>410</v>
      </c>
    </row>
    <row r="1447" spans="2:16" x14ac:dyDescent="0.25">
      <c r="B1447" s="336" t="s">
        <v>416</v>
      </c>
      <c r="C1447" s="337">
        <v>40744</v>
      </c>
      <c r="D1447" s="338" t="s">
        <v>6405</v>
      </c>
      <c r="E1447" s="338" t="s">
        <v>427</v>
      </c>
      <c r="F1447" s="338" t="s">
        <v>6404</v>
      </c>
      <c r="G1447" s="338" t="s">
        <v>413</v>
      </c>
      <c r="H1447" s="338" t="s">
        <v>425</v>
      </c>
      <c r="I1447" s="338" t="s">
        <v>411</v>
      </c>
      <c r="J1447" s="339"/>
      <c r="K1447" s="339"/>
      <c r="L1447" s="339"/>
      <c r="M1447" s="339"/>
      <c r="N1447" s="338"/>
      <c r="O1447" s="338" t="s">
        <v>417</v>
      </c>
      <c r="P1447" s="338" t="s">
        <v>410</v>
      </c>
    </row>
    <row r="1448" spans="2:16" x14ac:dyDescent="0.25">
      <c r="B1448" s="336" t="s">
        <v>1441</v>
      </c>
      <c r="C1448" s="337">
        <v>40744</v>
      </c>
      <c r="D1448" s="338" t="s">
        <v>6403</v>
      </c>
      <c r="E1448" s="338" t="s">
        <v>6402</v>
      </c>
      <c r="F1448" s="338"/>
      <c r="G1448" s="338" t="s">
        <v>413</v>
      </c>
      <c r="H1448" s="338" t="s">
        <v>412</v>
      </c>
      <c r="I1448" s="338" t="s">
        <v>411</v>
      </c>
      <c r="J1448" s="339"/>
      <c r="K1448" s="339"/>
      <c r="L1448" s="339" t="s">
        <v>409</v>
      </c>
      <c r="M1448" s="339" t="s">
        <v>409</v>
      </c>
      <c r="N1448" s="338" t="s">
        <v>408</v>
      </c>
      <c r="O1448" s="338" t="s">
        <v>409</v>
      </c>
      <c r="P1448" s="338" t="s">
        <v>1785</v>
      </c>
    </row>
    <row r="1449" spans="2:16" x14ac:dyDescent="0.25">
      <c r="B1449" s="336" t="s">
        <v>416</v>
      </c>
      <c r="C1449" s="337">
        <v>40744</v>
      </c>
      <c r="D1449" s="338" t="s">
        <v>6401</v>
      </c>
      <c r="E1449" s="338" t="s">
        <v>6400</v>
      </c>
      <c r="F1449" s="338"/>
      <c r="G1449" s="338" t="s">
        <v>413</v>
      </c>
      <c r="H1449" s="338" t="s">
        <v>425</v>
      </c>
      <c r="I1449" s="338" t="s">
        <v>411</v>
      </c>
      <c r="J1449" s="339"/>
      <c r="K1449" s="339"/>
      <c r="L1449" s="339" t="s">
        <v>409</v>
      </c>
      <c r="M1449" s="339" t="s">
        <v>409</v>
      </c>
      <c r="N1449" s="338"/>
      <c r="O1449" s="338" t="s">
        <v>409</v>
      </c>
      <c r="P1449" s="338" t="s">
        <v>443</v>
      </c>
    </row>
    <row r="1450" spans="2:16" x14ac:dyDescent="0.25">
      <c r="B1450" s="336" t="s">
        <v>416</v>
      </c>
      <c r="C1450" s="337">
        <v>40744</v>
      </c>
      <c r="D1450" s="338" t="s">
        <v>6399</v>
      </c>
      <c r="E1450" s="338" t="s">
        <v>3868</v>
      </c>
      <c r="F1450" s="338"/>
      <c r="G1450" s="338" t="s">
        <v>413</v>
      </c>
      <c r="H1450" s="338" t="s">
        <v>412</v>
      </c>
      <c r="I1450" s="338" t="s">
        <v>411</v>
      </c>
      <c r="J1450" s="339"/>
      <c r="K1450" s="339"/>
      <c r="L1450" s="339" t="s">
        <v>409</v>
      </c>
      <c r="M1450" s="339" t="s">
        <v>409</v>
      </c>
      <c r="N1450" s="338" t="s">
        <v>432</v>
      </c>
      <c r="O1450" s="338" t="s">
        <v>409</v>
      </c>
      <c r="P1450" s="338" t="s">
        <v>417</v>
      </c>
    </row>
    <row r="1451" spans="2:16" x14ac:dyDescent="0.25">
      <c r="B1451" s="336" t="s">
        <v>416</v>
      </c>
      <c r="C1451" s="337">
        <v>40744</v>
      </c>
      <c r="D1451" s="338" t="s">
        <v>6398</v>
      </c>
      <c r="E1451" s="338" t="s">
        <v>6397</v>
      </c>
      <c r="F1451" s="338"/>
      <c r="G1451" s="338">
        <v>22.41</v>
      </c>
      <c r="H1451" s="338" t="s">
        <v>336</v>
      </c>
      <c r="I1451" s="338" t="s">
        <v>411</v>
      </c>
      <c r="J1451" s="339"/>
      <c r="K1451" s="339"/>
      <c r="L1451" s="339" t="s">
        <v>409</v>
      </c>
      <c r="M1451" s="339" t="s">
        <v>409</v>
      </c>
      <c r="N1451" s="338" t="s">
        <v>417</v>
      </c>
      <c r="O1451" s="338" t="s">
        <v>409</v>
      </c>
      <c r="P1451" s="338" t="s">
        <v>408</v>
      </c>
    </row>
    <row r="1452" spans="2:16" x14ac:dyDescent="0.25">
      <c r="B1452" s="336" t="s">
        <v>416</v>
      </c>
      <c r="C1452" s="337">
        <v>40744</v>
      </c>
      <c r="D1452" s="338" t="s">
        <v>956</v>
      </c>
      <c r="E1452" s="338" t="s">
        <v>6396</v>
      </c>
      <c r="F1452" s="338" t="s">
        <v>6395</v>
      </c>
      <c r="G1452" s="338">
        <v>6</v>
      </c>
      <c r="H1452" s="338" t="s">
        <v>425</v>
      </c>
      <c r="I1452" s="338" t="s">
        <v>411</v>
      </c>
      <c r="J1452" s="339"/>
      <c r="K1452" s="339"/>
      <c r="L1452" s="339"/>
      <c r="M1452" s="339"/>
      <c r="N1452" s="338"/>
      <c r="O1452" s="338" t="s">
        <v>487</v>
      </c>
      <c r="P1452" s="338" t="s">
        <v>487</v>
      </c>
    </row>
    <row r="1453" spans="2:16" x14ac:dyDescent="0.25">
      <c r="B1453" s="336" t="s">
        <v>459</v>
      </c>
      <c r="C1453" s="337">
        <v>40743</v>
      </c>
      <c r="D1453" s="338" t="s">
        <v>6394</v>
      </c>
      <c r="E1453" s="338" t="s">
        <v>6393</v>
      </c>
      <c r="F1453" s="338"/>
      <c r="G1453" s="338">
        <v>0.5</v>
      </c>
      <c r="H1453" s="338" t="s">
        <v>425</v>
      </c>
      <c r="I1453" s="338" t="s">
        <v>411</v>
      </c>
      <c r="J1453" s="339"/>
      <c r="K1453" s="339"/>
      <c r="L1453" s="339" t="s">
        <v>409</v>
      </c>
      <c r="M1453" s="339" t="s">
        <v>409</v>
      </c>
      <c r="N1453" s="338" t="s">
        <v>605</v>
      </c>
      <c r="O1453" s="338" t="s">
        <v>409</v>
      </c>
      <c r="P1453" s="338"/>
    </row>
    <row r="1454" spans="2:16" x14ac:dyDescent="0.25">
      <c r="B1454" s="336" t="s">
        <v>459</v>
      </c>
      <c r="C1454" s="337">
        <v>40743</v>
      </c>
      <c r="D1454" s="338" t="s">
        <v>4424</v>
      </c>
      <c r="E1454" s="338" t="s">
        <v>6392</v>
      </c>
      <c r="F1454" s="338"/>
      <c r="G1454" s="338">
        <v>10</v>
      </c>
      <c r="H1454" s="338" t="s">
        <v>425</v>
      </c>
      <c r="I1454" s="338" t="s">
        <v>411</v>
      </c>
      <c r="J1454" s="339"/>
      <c r="K1454" s="339"/>
      <c r="L1454" s="339" t="s">
        <v>409</v>
      </c>
      <c r="M1454" s="339" t="s">
        <v>409</v>
      </c>
      <c r="N1454" s="338" t="s">
        <v>417</v>
      </c>
      <c r="O1454" s="338" t="s">
        <v>409</v>
      </c>
      <c r="P1454" s="338"/>
    </row>
    <row r="1455" spans="2:16" x14ac:dyDescent="0.25">
      <c r="B1455" s="336" t="s">
        <v>459</v>
      </c>
      <c r="C1455" s="337">
        <v>40743</v>
      </c>
      <c r="D1455" s="338" t="s">
        <v>2725</v>
      </c>
      <c r="E1455" s="338" t="s">
        <v>6391</v>
      </c>
      <c r="F1455" s="338"/>
      <c r="G1455" s="338" t="s">
        <v>413</v>
      </c>
      <c r="H1455" s="338" t="s">
        <v>425</v>
      </c>
      <c r="I1455" s="338" t="s">
        <v>411</v>
      </c>
      <c r="J1455" s="339">
        <v>0.30965799999999999</v>
      </c>
      <c r="K1455" s="339">
        <v>6.5228599999999997</v>
      </c>
      <c r="L1455" s="339" t="s">
        <v>409</v>
      </c>
      <c r="M1455" s="339" t="s">
        <v>409</v>
      </c>
      <c r="N1455" s="338" t="s">
        <v>417</v>
      </c>
      <c r="O1455" s="338" t="s">
        <v>409</v>
      </c>
      <c r="P1455" s="338" t="s">
        <v>443</v>
      </c>
    </row>
    <row r="1456" spans="2:16" x14ac:dyDescent="0.25">
      <c r="B1456" s="336" t="s">
        <v>416</v>
      </c>
      <c r="C1456" s="337">
        <v>40742</v>
      </c>
      <c r="D1456" s="338" t="s">
        <v>2439</v>
      </c>
      <c r="E1456" s="338" t="s">
        <v>6390</v>
      </c>
      <c r="F1456" s="338" t="s">
        <v>2438</v>
      </c>
      <c r="G1456" s="338" t="s">
        <v>413</v>
      </c>
      <c r="H1456" s="338" t="s">
        <v>425</v>
      </c>
      <c r="I1456" s="338" t="s">
        <v>411</v>
      </c>
      <c r="J1456" s="339">
        <v>0.72142099999999998</v>
      </c>
      <c r="K1456" s="339">
        <v>10.138999999999999</v>
      </c>
      <c r="L1456" s="339"/>
      <c r="M1456" s="339"/>
      <c r="N1456" s="338" t="s">
        <v>417</v>
      </c>
      <c r="O1456" s="338" t="s">
        <v>443</v>
      </c>
      <c r="P1456" s="338" t="s">
        <v>443</v>
      </c>
    </row>
    <row r="1457" spans="2:16" x14ac:dyDescent="0.25">
      <c r="B1457" s="336" t="s">
        <v>416</v>
      </c>
      <c r="C1457" s="337">
        <v>40742</v>
      </c>
      <c r="D1457" s="338" t="s">
        <v>6389</v>
      </c>
      <c r="E1457" s="338" t="s">
        <v>2078</v>
      </c>
      <c r="F1457" s="338"/>
      <c r="G1457" s="338" t="s">
        <v>413</v>
      </c>
      <c r="H1457" s="338" t="s">
        <v>412</v>
      </c>
      <c r="I1457" s="338" t="s">
        <v>411</v>
      </c>
      <c r="J1457" s="339"/>
      <c r="K1457" s="339"/>
      <c r="L1457" s="339" t="s">
        <v>409</v>
      </c>
      <c r="M1457" s="339" t="s">
        <v>409</v>
      </c>
      <c r="N1457" s="338"/>
      <c r="O1457" s="338" t="s">
        <v>409</v>
      </c>
      <c r="P1457" s="338" t="s">
        <v>417</v>
      </c>
    </row>
    <row r="1458" spans="2:16" x14ac:dyDescent="0.25">
      <c r="B1458" s="336" t="s">
        <v>459</v>
      </c>
      <c r="C1458" s="337">
        <v>40742</v>
      </c>
      <c r="D1458" s="338" t="s">
        <v>6388</v>
      </c>
      <c r="E1458" s="338" t="s">
        <v>6387</v>
      </c>
      <c r="F1458" s="338"/>
      <c r="G1458" s="338" t="s">
        <v>413</v>
      </c>
      <c r="H1458" s="338" t="s">
        <v>671</v>
      </c>
      <c r="I1458" s="338" t="s">
        <v>411</v>
      </c>
      <c r="J1458" s="339"/>
      <c r="K1458" s="339"/>
      <c r="L1458" s="339" t="s">
        <v>409</v>
      </c>
      <c r="M1458" s="339" t="s">
        <v>409</v>
      </c>
      <c r="N1458" s="338" t="s">
        <v>417</v>
      </c>
      <c r="O1458" s="338" t="s">
        <v>409</v>
      </c>
      <c r="P1458" s="338" t="s">
        <v>443</v>
      </c>
    </row>
    <row r="1459" spans="2:16" x14ac:dyDescent="0.25">
      <c r="B1459" s="336" t="s">
        <v>416</v>
      </c>
      <c r="C1459" s="337">
        <v>40742</v>
      </c>
      <c r="D1459" s="338" t="s">
        <v>6386</v>
      </c>
      <c r="E1459" s="338" t="s">
        <v>905</v>
      </c>
      <c r="F1459" s="338"/>
      <c r="G1459" s="338" t="s">
        <v>413</v>
      </c>
      <c r="H1459" s="338" t="s">
        <v>425</v>
      </c>
      <c r="I1459" s="338" t="s">
        <v>411</v>
      </c>
      <c r="J1459" s="339"/>
      <c r="K1459" s="339"/>
      <c r="L1459" s="339" t="s">
        <v>409</v>
      </c>
      <c r="M1459" s="339" t="s">
        <v>409</v>
      </c>
      <c r="N1459" s="338"/>
      <c r="O1459" s="338" t="s">
        <v>409</v>
      </c>
      <c r="P1459" s="338" t="s">
        <v>417</v>
      </c>
    </row>
    <row r="1460" spans="2:16" x14ac:dyDescent="0.25">
      <c r="B1460" s="336" t="s">
        <v>416</v>
      </c>
      <c r="C1460" s="337">
        <v>40741</v>
      </c>
      <c r="D1460" s="338" t="s">
        <v>6385</v>
      </c>
      <c r="E1460" s="338" t="s">
        <v>6384</v>
      </c>
      <c r="F1460" s="338"/>
      <c r="G1460" s="338">
        <v>50.5</v>
      </c>
      <c r="H1460" s="338" t="s">
        <v>425</v>
      </c>
      <c r="I1460" s="338" t="s">
        <v>1243</v>
      </c>
      <c r="J1460" s="339"/>
      <c r="K1460" s="339"/>
      <c r="L1460" s="339" t="s">
        <v>409</v>
      </c>
      <c r="M1460" s="339" t="s">
        <v>409</v>
      </c>
      <c r="N1460" s="338"/>
      <c r="O1460" s="338" t="s">
        <v>409</v>
      </c>
      <c r="P1460" s="338" t="s">
        <v>408</v>
      </c>
    </row>
    <row r="1461" spans="2:16" x14ac:dyDescent="0.25">
      <c r="B1461" s="336" t="s">
        <v>416</v>
      </c>
      <c r="C1461" s="337">
        <v>40738</v>
      </c>
      <c r="D1461" s="338" t="s">
        <v>6383</v>
      </c>
      <c r="E1461" s="338" t="s">
        <v>514</v>
      </c>
      <c r="F1461" s="338" t="s">
        <v>4820</v>
      </c>
      <c r="G1461" s="338" t="s">
        <v>413</v>
      </c>
      <c r="H1461" s="338" t="s">
        <v>425</v>
      </c>
      <c r="I1461" s="338" t="s">
        <v>411</v>
      </c>
      <c r="J1461" s="339"/>
      <c r="K1461" s="339"/>
      <c r="L1461" s="339">
        <v>2.7734999999999999</v>
      </c>
      <c r="M1461" s="339">
        <v>8.3664400000000008</v>
      </c>
      <c r="N1461" s="338" t="s">
        <v>417</v>
      </c>
      <c r="O1461" s="338" t="s">
        <v>432</v>
      </c>
      <c r="P1461" s="338"/>
    </row>
    <row r="1462" spans="2:16" x14ac:dyDescent="0.25">
      <c r="B1462" s="336" t="s">
        <v>459</v>
      </c>
      <c r="C1462" s="337">
        <v>40737</v>
      </c>
      <c r="D1462" s="338" t="s">
        <v>6382</v>
      </c>
      <c r="E1462" s="338" t="s">
        <v>6381</v>
      </c>
      <c r="F1462" s="338"/>
      <c r="G1462" s="338">
        <v>3.3</v>
      </c>
      <c r="H1462" s="338" t="s">
        <v>425</v>
      </c>
      <c r="I1462" s="338" t="s">
        <v>411</v>
      </c>
      <c r="J1462" s="339"/>
      <c r="K1462" s="339"/>
      <c r="L1462" s="339" t="s">
        <v>409</v>
      </c>
      <c r="M1462" s="339" t="s">
        <v>409</v>
      </c>
      <c r="N1462" s="338" t="s">
        <v>417</v>
      </c>
      <c r="O1462" s="338" t="s">
        <v>409</v>
      </c>
      <c r="P1462" s="338"/>
    </row>
    <row r="1463" spans="2:16" x14ac:dyDescent="0.25">
      <c r="B1463" s="336" t="s">
        <v>416</v>
      </c>
      <c r="C1463" s="337">
        <v>40736</v>
      </c>
      <c r="D1463" s="338" t="s">
        <v>5135</v>
      </c>
      <c r="E1463" s="338" t="s">
        <v>6380</v>
      </c>
      <c r="F1463" s="338"/>
      <c r="G1463" s="338" t="s">
        <v>413</v>
      </c>
      <c r="H1463" s="338" t="s">
        <v>412</v>
      </c>
      <c r="I1463" s="338" t="s">
        <v>411</v>
      </c>
      <c r="J1463" s="339"/>
      <c r="K1463" s="339"/>
      <c r="L1463" s="339" t="s">
        <v>409</v>
      </c>
      <c r="M1463" s="339" t="s">
        <v>409</v>
      </c>
      <c r="N1463" s="338" t="s">
        <v>417</v>
      </c>
      <c r="O1463" s="338" t="s">
        <v>409</v>
      </c>
      <c r="P1463" s="338" t="s">
        <v>443</v>
      </c>
    </row>
    <row r="1464" spans="2:16" x14ac:dyDescent="0.25">
      <c r="B1464" s="336" t="s">
        <v>459</v>
      </c>
      <c r="C1464" s="337">
        <v>40736</v>
      </c>
      <c r="D1464" s="338" t="s">
        <v>3550</v>
      </c>
      <c r="E1464" s="338" t="s">
        <v>1525</v>
      </c>
      <c r="F1464" s="338"/>
      <c r="G1464" s="338">
        <v>70</v>
      </c>
      <c r="H1464" s="338" t="s">
        <v>425</v>
      </c>
      <c r="I1464" s="338" t="s">
        <v>411</v>
      </c>
      <c r="J1464" s="339"/>
      <c r="K1464" s="339"/>
      <c r="L1464" s="339" t="s">
        <v>409</v>
      </c>
      <c r="M1464" s="339" t="s">
        <v>409</v>
      </c>
      <c r="N1464" s="338" t="s">
        <v>417</v>
      </c>
      <c r="O1464" s="338" t="s">
        <v>409</v>
      </c>
      <c r="P1464" s="338" t="s">
        <v>443</v>
      </c>
    </row>
    <row r="1465" spans="2:16" x14ac:dyDescent="0.25">
      <c r="B1465" s="336" t="s">
        <v>459</v>
      </c>
      <c r="C1465" s="337">
        <v>40736</v>
      </c>
      <c r="D1465" s="338" t="s">
        <v>6379</v>
      </c>
      <c r="E1465" s="338" t="s">
        <v>6378</v>
      </c>
      <c r="F1465" s="338"/>
      <c r="G1465" s="338">
        <v>7.8</v>
      </c>
      <c r="H1465" s="338" t="s">
        <v>425</v>
      </c>
      <c r="I1465" s="338" t="s">
        <v>411</v>
      </c>
      <c r="J1465" s="339"/>
      <c r="K1465" s="339"/>
      <c r="L1465" s="339" t="s">
        <v>409</v>
      </c>
      <c r="M1465" s="339" t="s">
        <v>409</v>
      </c>
      <c r="N1465" s="338"/>
      <c r="O1465" s="338" t="s">
        <v>409</v>
      </c>
      <c r="P1465" s="338" t="s">
        <v>443</v>
      </c>
    </row>
    <row r="1466" spans="2:16" x14ac:dyDescent="0.25">
      <c r="B1466" s="336" t="s">
        <v>416</v>
      </c>
      <c r="C1466" s="337">
        <v>40735</v>
      </c>
      <c r="D1466" s="338" t="s">
        <v>6377</v>
      </c>
      <c r="E1466" s="338" t="s">
        <v>829</v>
      </c>
      <c r="F1466" s="338" t="s">
        <v>6376</v>
      </c>
      <c r="G1466" s="338" t="s">
        <v>413</v>
      </c>
      <c r="H1466" s="338" t="s">
        <v>425</v>
      </c>
      <c r="I1466" s="338" t="s">
        <v>411</v>
      </c>
      <c r="J1466" s="339"/>
      <c r="K1466" s="339"/>
      <c r="L1466" s="339"/>
      <c r="M1466" s="339"/>
      <c r="N1466" s="338" t="s">
        <v>417</v>
      </c>
      <c r="O1466" s="338" t="s">
        <v>443</v>
      </c>
      <c r="P1466" s="338" t="s">
        <v>443</v>
      </c>
    </row>
    <row r="1467" spans="2:16" x14ac:dyDescent="0.25">
      <c r="B1467" s="336" t="s">
        <v>416</v>
      </c>
      <c r="C1467" s="337">
        <v>40735</v>
      </c>
      <c r="D1467" s="338" t="s">
        <v>6375</v>
      </c>
      <c r="E1467" s="338" t="s">
        <v>6374</v>
      </c>
      <c r="F1467" s="338"/>
      <c r="G1467" s="338" t="s">
        <v>413</v>
      </c>
      <c r="H1467" s="338" t="s">
        <v>425</v>
      </c>
      <c r="I1467" s="338" t="s">
        <v>411</v>
      </c>
      <c r="J1467" s="339"/>
      <c r="K1467" s="339"/>
      <c r="L1467" s="339" t="s">
        <v>409</v>
      </c>
      <c r="M1467" s="339" t="s">
        <v>409</v>
      </c>
      <c r="N1467" s="338"/>
      <c r="O1467" s="338" t="s">
        <v>409</v>
      </c>
      <c r="P1467" s="338" t="s">
        <v>410</v>
      </c>
    </row>
    <row r="1468" spans="2:16" x14ac:dyDescent="0.25">
      <c r="B1468" s="336" t="s">
        <v>416</v>
      </c>
      <c r="C1468" s="337">
        <v>40735</v>
      </c>
      <c r="D1468" s="338" t="s">
        <v>6373</v>
      </c>
      <c r="E1468" s="338" t="s">
        <v>6372</v>
      </c>
      <c r="F1468" s="338"/>
      <c r="G1468" s="338" t="s">
        <v>413</v>
      </c>
      <c r="H1468" s="338" t="s">
        <v>412</v>
      </c>
      <c r="I1468" s="338" t="s">
        <v>411</v>
      </c>
      <c r="J1468" s="339"/>
      <c r="K1468" s="339"/>
      <c r="L1468" s="339" t="s">
        <v>409</v>
      </c>
      <c r="M1468" s="339" t="s">
        <v>409</v>
      </c>
      <c r="N1468" s="338" t="s">
        <v>417</v>
      </c>
      <c r="O1468" s="338" t="s">
        <v>409</v>
      </c>
      <c r="P1468" s="338" t="s">
        <v>417</v>
      </c>
    </row>
    <row r="1469" spans="2:16" x14ac:dyDescent="0.25">
      <c r="B1469" s="336" t="s">
        <v>416</v>
      </c>
      <c r="C1469" s="337">
        <v>40731</v>
      </c>
      <c r="D1469" s="338" t="s">
        <v>6371</v>
      </c>
      <c r="E1469" s="338" t="s">
        <v>761</v>
      </c>
      <c r="F1469" s="338"/>
      <c r="G1469" s="338" t="s">
        <v>413</v>
      </c>
      <c r="H1469" s="338" t="s">
        <v>412</v>
      </c>
      <c r="I1469" s="338" t="s">
        <v>411</v>
      </c>
      <c r="J1469" s="339"/>
      <c r="K1469" s="339"/>
      <c r="L1469" s="339" t="s">
        <v>409</v>
      </c>
      <c r="M1469" s="339" t="s">
        <v>409</v>
      </c>
      <c r="N1469" s="338" t="s">
        <v>417</v>
      </c>
      <c r="O1469" s="338" t="s">
        <v>409</v>
      </c>
      <c r="P1469" s="338" t="s">
        <v>417</v>
      </c>
    </row>
    <row r="1470" spans="2:16" x14ac:dyDescent="0.25">
      <c r="B1470" s="336" t="s">
        <v>416</v>
      </c>
      <c r="C1470" s="337">
        <v>40731</v>
      </c>
      <c r="D1470" s="338" t="s">
        <v>6370</v>
      </c>
      <c r="E1470" s="338" t="s">
        <v>2762</v>
      </c>
      <c r="F1470" s="338" t="s">
        <v>6369</v>
      </c>
      <c r="G1470" s="338">
        <v>0.4</v>
      </c>
      <c r="H1470" s="338" t="s">
        <v>336</v>
      </c>
      <c r="I1470" s="338" t="s">
        <v>411</v>
      </c>
      <c r="J1470" s="339"/>
      <c r="K1470" s="339"/>
      <c r="L1470" s="339"/>
      <c r="M1470" s="339"/>
      <c r="N1470" s="338" t="s">
        <v>432</v>
      </c>
      <c r="O1470" s="338" t="s">
        <v>543</v>
      </c>
      <c r="P1470" s="338" t="s">
        <v>417</v>
      </c>
    </row>
    <row r="1471" spans="2:16" x14ac:dyDescent="0.25">
      <c r="B1471" s="336" t="s">
        <v>416</v>
      </c>
      <c r="C1471" s="337">
        <v>40731</v>
      </c>
      <c r="D1471" s="338" t="s">
        <v>6368</v>
      </c>
      <c r="E1471" s="338" t="s">
        <v>6367</v>
      </c>
      <c r="F1471" s="338" t="s">
        <v>6366</v>
      </c>
      <c r="G1471" s="338">
        <v>9.3000000000000007</v>
      </c>
      <c r="H1471" s="338" t="s">
        <v>425</v>
      </c>
      <c r="I1471" s="338" t="s">
        <v>1243</v>
      </c>
      <c r="J1471" s="339"/>
      <c r="K1471" s="339"/>
      <c r="L1471" s="339"/>
      <c r="M1471" s="339"/>
      <c r="N1471" s="338"/>
      <c r="O1471" s="338"/>
      <c r="P1471" s="338" t="s">
        <v>417</v>
      </c>
    </row>
    <row r="1472" spans="2:16" x14ac:dyDescent="0.25">
      <c r="B1472" s="336" t="s">
        <v>416</v>
      </c>
      <c r="C1472" s="337">
        <v>40730</v>
      </c>
      <c r="D1472" s="338" t="s">
        <v>4455</v>
      </c>
      <c r="E1472" s="338" t="s">
        <v>6365</v>
      </c>
      <c r="F1472" s="338" t="s">
        <v>4454</v>
      </c>
      <c r="G1472" s="338" t="s">
        <v>413</v>
      </c>
      <c r="H1472" s="338" t="s">
        <v>412</v>
      </c>
      <c r="I1472" s="338" t="s">
        <v>411</v>
      </c>
      <c r="J1472" s="339"/>
      <c r="K1472" s="339"/>
      <c r="L1472" s="339"/>
      <c r="M1472" s="339"/>
      <c r="N1472" s="338" t="s">
        <v>417</v>
      </c>
      <c r="O1472" s="338" t="s">
        <v>417</v>
      </c>
      <c r="P1472" s="338" t="s">
        <v>417</v>
      </c>
    </row>
    <row r="1473" spans="2:16" x14ac:dyDescent="0.25">
      <c r="B1473" s="336" t="s">
        <v>459</v>
      </c>
      <c r="C1473" s="337">
        <v>40730</v>
      </c>
      <c r="D1473" s="338" t="s">
        <v>6364</v>
      </c>
      <c r="E1473" s="338" t="s">
        <v>6363</v>
      </c>
      <c r="F1473" s="338"/>
      <c r="G1473" s="338">
        <v>1.5</v>
      </c>
      <c r="H1473" s="338" t="s">
        <v>425</v>
      </c>
      <c r="I1473" s="338" t="s">
        <v>411</v>
      </c>
      <c r="J1473" s="339"/>
      <c r="K1473" s="339"/>
      <c r="L1473" s="339" t="s">
        <v>409</v>
      </c>
      <c r="M1473" s="339" t="s">
        <v>409</v>
      </c>
      <c r="N1473" s="338" t="s">
        <v>417</v>
      </c>
      <c r="O1473" s="338" t="s">
        <v>409</v>
      </c>
      <c r="P1473" s="338"/>
    </row>
    <row r="1474" spans="2:16" x14ac:dyDescent="0.25">
      <c r="B1474" s="336" t="s">
        <v>459</v>
      </c>
      <c r="C1474" s="337">
        <v>40728</v>
      </c>
      <c r="D1474" s="338" t="s">
        <v>6362</v>
      </c>
      <c r="E1474" s="338" t="s">
        <v>6361</v>
      </c>
      <c r="F1474" s="338"/>
      <c r="G1474" s="338" t="s">
        <v>413</v>
      </c>
      <c r="H1474" s="338" t="s">
        <v>425</v>
      </c>
      <c r="I1474" s="338" t="s">
        <v>411</v>
      </c>
      <c r="J1474" s="339"/>
      <c r="K1474" s="339"/>
      <c r="L1474" s="339" t="s">
        <v>409</v>
      </c>
      <c r="M1474" s="339" t="s">
        <v>409</v>
      </c>
      <c r="N1474" s="338" t="s">
        <v>417</v>
      </c>
      <c r="O1474" s="338" t="s">
        <v>409</v>
      </c>
      <c r="P1474" s="338"/>
    </row>
    <row r="1475" spans="2:16" x14ac:dyDescent="0.25">
      <c r="B1475" s="336" t="s">
        <v>1441</v>
      </c>
      <c r="C1475" s="337">
        <v>40728</v>
      </c>
      <c r="D1475" s="338" t="s">
        <v>6360</v>
      </c>
      <c r="E1475" s="338" t="s">
        <v>6359</v>
      </c>
      <c r="F1475" s="338"/>
      <c r="G1475" s="338" t="s">
        <v>413</v>
      </c>
      <c r="H1475" s="338" t="s">
        <v>412</v>
      </c>
      <c r="I1475" s="338" t="s">
        <v>1243</v>
      </c>
      <c r="J1475" s="339"/>
      <c r="K1475" s="339"/>
      <c r="L1475" s="339" t="s">
        <v>409</v>
      </c>
      <c r="M1475" s="339" t="s">
        <v>409</v>
      </c>
      <c r="N1475" s="338" t="s">
        <v>417</v>
      </c>
      <c r="O1475" s="338" t="s">
        <v>409</v>
      </c>
      <c r="P1475" s="338" t="s">
        <v>410</v>
      </c>
    </row>
    <row r="1476" spans="2:16" x14ac:dyDescent="0.25">
      <c r="B1476" s="336" t="s">
        <v>416</v>
      </c>
      <c r="C1476" s="337">
        <v>40725</v>
      </c>
      <c r="D1476" s="338" t="s">
        <v>6358</v>
      </c>
      <c r="E1476" s="338" t="s">
        <v>6357</v>
      </c>
      <c r="F1476" s="338" t="s">
        <v>842</v>
      </c>
      <c r="G1476" s="338">
        <v>22</v>
      </c>
      <c r="H1476" s="338" t="s">
        <v>425</v>
      </c>
      <c r="I1476" s="338" t="s">
        <v>411</v>
      </c>
      <c r="J1476" s="339"/>
      <c r="K1476" s="339"/>
      <c r="L1476" s="339">
        <v>2.00787</v>
      </c>
      <c r="M1476" s="339">
        <v>12.1244</v>
      </c>
      <c r="N1476" s="338" t="s">
        <v>443</v>
      </c>
      <c r="O1476" s="338" t="s">
        <v>487</v>
      </c>
      <c r="P1476" s="338" t="s">
        <v>443</v>
      </c>
    </row>
    <row r="1477" spans="2:16" x14ac:dyDescent="0.25">
      <c r="B1477" s="336" t="s">
        <v>416</v>
      </c>
      <c r="C1477" s="337">
        <v>40725</v>
      </c>
      <c r="D1477" s="338" t="s">
        <v>6356</v>
      </c>
      <c r="E1477" s="338" t="s">
        <v>3567</v>
      </c>
      <c r="F1477" s="338"/>
      <c r="G1477" s="338" t="s">
        <v>413</v>
      </c>
      <c r="H1477" s="338" t="s">
        <v>412</v>
      </c>
      <c r="I1477" s="338" t="s">
        <v>411</v>
      </c>
      <c r="J1477" s="339"/>
      <c r="K1477" s="339"/>
      <c r="L1477" s="339" t="s">
        <v>409</v>
      </c>
      <c r="M1477" s="339" t="s">
        <v>409</v>
      </c>
      <c r="N1477" s="338" t="s">
        <v>417</v>
      </c>
      <c r="O1477" s="338" t="s">
        <v>409</v>
      </c>
      <c r="P1477" s="338" t="s">
        <v>417</v>
      </c>
    </row>
    <row r="1478" spans="2:16" x14ac:dyDescent="0.25">
      <c r="B1478" s="336" t="s">
        <v>416</v>
      </c>
      <c r="C1478" s="337">
        <v>40724</v>
      </c>
      <c r="D1478" s="338" t="s">
        <v>6355</v>
      </c>
      <c r="E1478" s="338" t="s">
        <v>6354</v>
      </c>
      <c r="F1478" s="338"/>
      <c r="G1478" s="338">
        <v>7.5</v>
      </c>
      <c r="H1478" s="338" t="s">
        <v>425</v>
      </c>
      <c r="I1478" s="338" t="s">
        <v>411</v>
      </c>
      <c r="J1478" s="339"/>
      <c r="K1478" s="339"/>
      <c r="L1478" s="339" t="s">
        <v>409</v>
      </c>
      <c r="M1478" s="339" t="s">
        <v>409</v>
      </c>
      <c r="N1478" s="338" t="s">
        <v>417</v>
      </c>
      <c r="O1478" s="338" t="s">
        <v>409</v>
      </c>
      <c r="P1478" s="338" t="s">
        <v>417</v>
      </c>
    </row>
    <row r="1479" spans="2:16" x14ac:dyDescent="0.25">
      <c r="B1479" s="336" t="s">
        <v>416</v>
      </c>
      <c r="C1479" s="337">
        <v>40724</v>
      </c>
      <c r="D1479" s="338" t="s">
        <v>3488</v>
      </c>
      <c r="E1479" s="338" t="s">
        <v>6353</v>
      </c>
      <c r="F1479" s="338"/>
      <c r="G1479" s="338" t="s">
        <v>413</v>
      </c>
      <c r="H1479" s="338" t="s">
        <v>425</v>
      </c>
      <c r="I1479" s="338" t="s">
        <v>411</v>
      </c>
      <c r="J1479" s="339"/>
      <c r="K1479" s="339"/>
      <c r="L1479" s="339" t="s">
        <v>409</v>
      </c>
      <c r="M1479" s="339" t="s">
        <v>409</v>
      </c>
      <c r="N1479" s="338"/>
      <c r="O1479" s="338" t="s">
        <v>409</v>
      </c>
      <c r="P1479" s="338" t="s">
        <v>417</v>
      </c>
    </row>
    <row r="1480" spans="2:16" x14ac:dyDescent="0.25">
      <c r="B1480" s="336" t="s">
        <v>416</v>
      </c>
      <c r="C1480" s="337">
        <v>40723</v>
      </c>
      <c r="D1480" s="338" t="s">
        <v>6352</v>
      </c>
      <c r="E1480" s="338" t="s">
        <v>6351</v>
      </c>
      <c r="F1480" s="338"/>
      <c r="G1480" s="338">
        <v>2365.9</v>
      </c>
      <c r="H1480" s="338" t="s">
        <v>425</v>
      </c>
      <c r="I1480" s="338" t="s">
        <v>411</v>
      </c>
      <c r="J1480" s="339">
        <v>0.21934600000000001</v>
      </c>
      <c r="K1480" s="339">
        <v>6.4164899999999996</v>
      </c>
      <c r="L1480" s="339" t="s">
        <v>409</v>
      </c>
      <c r="M1480" s="339" t="s">
        <v>409</v>
      </c>
      <c r="N1480" s="338" t="s">
        <v>417</v>
      </c>
      <c r="O1480" s="338" t="s">
        <v>409</v>
      </c>
      <c r="P1480" s="338"/>
    </row>
    <row r="1481" spans="2:16" x14ac:dyDescent="0.25">
      <c r="B1481" s="336" t="s">
        <v>416</v>
      </c>
      <c r="C1481" s="337">
        <v>40723</v>
      </c>
      <c r="D1481" s="338" t="s">
        <v>6350</v>
      </c>
      <c r="E1481" s="338" t="s">
        <v>1056</v>
      </c>
      <c r="F1481" s="338"/>
      <c r="G1481" s="338" t="s">
        <v>413</v>
      </c>
      <c r="H1481" s="338" t="s">
        <v>412</v>
      </c>
      <c r="I1481" s="338" t="s">
        <v>411</v>
      </c>
      <c r="J1481" s="339"/>
      <c r="K1481" s="339"/>
      <c r="L1481" s="339" t="s">
        <v>409</v>
      </c>
      <c r="M1481" s="339" t="s">
        <v>409</v>
      </c>
      <c r="N1481" s="338" t="s">
        <v>417</v>
      </c>
      <c r="O1481" s="338" t="s">
        <v>409</v>
      </c>
      <c r="P1481" s="338" t="s">
        <v>417</v>
      </c>
    </row>
    <row r="1482" spans="2:16" x14ac:dyDescent="0.25">
      <c r="B1482" s="336" t="s">
        <v>416</v>
      </c>
      <c r="C1482" s="337">
        <v>40723</v>
      </c>
      <c r="D1482" s="338" t="s">
        <v>6349</v>
      </c>
      <c r="E1482" s="338" t="s">
        <v>6348</v>
      </c>
      <c r="F1482" s="338" t="s">
        <v>1190</v>
      </c>
      <c r="G1482" s="338">
        <v>8</v>
      </c>
      <c r="H1482" s="338" t="s">
        <v>425</v>
      </c>
      <c r="I1482" s="338" t="s">
        <v>411</v>
      </c>
      <c r="J1482" s="339"/>
      <c r="K1482" s="339"/>
      <c r="L1482" s="339"/>
      <c r="M1482" s="339"/>
      <c r="N1482" s="338"/>
      <c r="O1482" s="338" t="s">
        <v>417</v>
      </c>
      <c r="P1482" s="338" t="s">
        <v>605</v>
      </c>
    </row>
    <row r="1483" spans="2:16" x14ac:dyDescent="0.25">
      <c r="B1483" s="336" t="s">
        <v>459</v>
      </c>
      <c r="C1483" s="337">
        <v>40722</v>
      </c>
      <c r="D1483" s="338" t="s">
        <v>6347</v>
      </c>
      <c r="E1483" s="338" t="s">
        <v>669</v>
      </c>
      <c r="F1483" s="338" t="s">
        <v>712</v>
      </c>
      <c r="G1483" s="338">
        <v>297.38</v>
      </c>
      <c r="H1483" s="338" t="s">
        <v>425</v>
      </c>
      <c r="I1483" s="338" t="s">
        <v>411</v>
      </c>
      <c r="J1483" s="339">
        <v>3.2667799999999998</v>
      </c>
      <c r="K1483" s="339">
        <v>17.057200000000002</v>
      </c>
      <c r="L1483" s="339"/>
      <c r="M1483" s="339"/>
      <c r="N1483" s="338" t="s">
        <v>417</v>
      </c>
      <c r="O1483" s="338" t="s">
        <v>443</v>
      </c>
      <c r="P1483" s="338"/>
    </row>
    <row r="1484" spans="2:16" x14ac:dyDescent="0.25">
      <c r="B1484" s="336" t="s">
        <v>416</v>
      </c>
      <c r="C1484" s="337">
        <v>40721</v>
      </c>
      <c r="D1484" s="338" t="s">
        <v>6346</v>
      </c>
      <c r="E1484" s="338" t="s">
        <v>6314</v>
      </c>
      <c r="F1484" s="338" t="s">
        <v>6345</v>
      </c>
      <c r="G1484" s="338" t="s">
        <v>413</v>
      </c>
      <c r="H1484" s="338" t="s">
        <v>425</v>
      </c>
      <c r="I1484" s="338" t="s">
        <v>411</v>
      </c>
      <c r="J1484" s="339"/>
      <c r="K1484" s="339"/>
      <c r="L1484" s="339"/>
      <c r="M1484" s="339"/>
      <c r="N1484" s="338"/>
      <c r="O1484" s="338" t="s">
        <v>410</v>
      </c>
      <c r="P1484" s="338" t="s">
        <v>417</v>
      </c>
    </row>
    <row r="1485" spans="2:16" x14ac:dyDescent="0.25">
      <c r="B1485" s="336" t="s">
        <v>416</v>
      </c>
      <c r="C1485" s="337">
        <v>40721</v>
      </c>
      <c r="D1485" s="338" t="s">
        <v>6344</v>
      </c>
      <c r="E1485" s="338" t="s">
        <v>6343</v>
      </c>
      <c r="F1485" s="338" t="s">
        <v>6342</v>
      </c>
      <c r="G1485" s="338">
        <v>3.19</v>
      </c>
      <c r="H1485" s="338" t="s">
        <v>425</v>
      </c>
      <c r="I1485" s="338" t="s">
        <v>411</v>
      </c>
      <c r="J1485" s="339"/>
      <c r="K1485" s="339"/>
      <c r="L1485" s="339">
        <v>0.21874299999999999</v>
      </c>
      <c r="M1485" s="339">
        <v>8.3399400000000004</v>
      </c>
      <c r="N1485" s="338"/>
      <c r="O1485" s="338" t="s">
        <v>417</v>
      </c>
      <c r="P1485" s="338" t="s">
        <v>410</v>
      </c>
    </row>
    <row r="1486" spans="2:16" x14ac:dyDescent="0.25">
      <c r="B1486" s="336" t="s">
        <v>416</v>
      </c>
      <c r="C1486" s="337">
        <v>40721</v>
      </c>
      <c r="D1486" s="338" t="s">
        <v>6341</v>
      </c>
      <c r="E1486" s="338" t="s">
        <v>3843</v>
      </c>
      <c r="F1486" s="338" t="s">
        <v>6340</v>
      </c>
      <c r="G1486" s="338" t="s">
        <v>413</v>
      </c>
      <c r="H1486" s="338" t="s">
        <v>425</v>
      </c>
      <c r="I1486" s="338" t="s">
        <v>411</v>
      </c>
      <c r="J1486" s="339"/>
      <c r="K1486" s="339"/>
      <c r="L1486" s="339"/>
      <c r="M1486" s="339"/>
      <c r="N1486" s="338"/>
      <c r="O1486" s="338" t="s">
        <v>410</v>
      </c>
      <c r="P1486" s="338" t="s">
        <v>417</v>
      </c>
    </row>
    <row r="1487" spans="2:16" x14ac:dyDescent="0.25">
      <c r="B1487" s="336" t="s">
        <v>416</v>
      </c>
      <c r="C1487" s="337">
        <v>40718</v>
      </c>
      <c r="D1487" s="338" t="s">
        <v>6339</v>
      </c>
      <c r="E1487" s="338" t="s">
        <v>6314</v>
      </c>
      <c r="F1487" s="338"/>
      <c r="G1487" s="338" t="s">
        <v>413</v>
      </c>
      <c r="H1487" s="338" t="s">
        <v>412</v>
      </c>
      <c r="I1487" s="338" t="s">
        <v>411</v>
      </c>
      <c r="J1487" s="339"/>
      <c r="K1487" s="339"/>
      <c r="L1487" s="339" t="s">
        <v>409</v>
      </c>
      <c r="M1487" s="339" t="s">
        <v>409</v>
      </c>
      <c r="N1487" s="338" t="s">
        <v>410</v>
      </c>
      <c r="O1487" s="338" t="s">
        <v>409</v>
      </c>
      <c r="P1487" s="338" t="s">
        <v>417</v>
      </c>
    </row>
    <row r="1488" spans="2:16" x14ac:dyDescent="0.25">
      <c r="B1488" s="336" t="s">
        <v>416</v>
      </c>
      <c r="C1488" s="337">
        <v>40717</v>
      </c>
      <c r="D1488" s="338" t="s">
        <v>6338</v>
      </c>
      <c r="E1488" s="338" t="s">
        <v>3429</v>
      </c>
      <c r="F1488" s="338" t="s">
        <v>6337</v>
      </c>
      <c r="G1488" s="338">
        <v>38.5</v>
      </c>
      <c r="H1488" s="338" t="s">
        <v>412</v>
      </c>
      <c r="I1488" s="338" t="s">
        <v>411</v>
      </c>
      <c r="J1488" s="339"/>
      <c r="K1488" s="339"/>
      <c r="L1488" s="339"/>
      <c r="M1488" s="339"/>
      <c r="N1488" s="338" t="s">
        <v>417</v>
      </c>
      <c r="O1488" s="338" t="s">
        <v>417</v>
      </c>
      <c r="P1488" s="338" t="s">
        <v>417</v>
      </c>
    </row>
    <row r="1489" spans="2:16" x14ac:dyDescent="0.25">
      <c r="B1489" s="336" t="s">
        <v>541</v>
      </c>
      <c r="C1489" s="337">
        <v>40717</v>
      </c>
      <c r="D1489" s="338" t="s">
        <v>6336</v>
      </c>
      <c r="E1489" s="338" t="s">
        <v>539</v>
      </c>
      <c r="F1489" s="338" t="s">
        <v>672</v>
      </c>
      <c r="G1489" s="338">
        <v>120.67</v>
      </c>
      <c r="H1489" s="338"/>
      <c r="I1489" s="338" t="s">
        <v>411</v>
      </c>
      <c r="J1489" s="339">
        <v>0.47774899999999998</v>
      </c>
      <c r="K1489" s="339"/>
      <c r="L1489" s="339">
        <v>0.20780999999999999</v>
      </c>
      <c r="M1489" s="339"/>
      <c r="N1489" s="338" t="s">
        <v>417</v>
      </c>
      <c r="O1489" s="338" t="s">
        <v>417</v>
      </c>
      <c r="P1489" s="338" t="s">
        <v>409</v>
      </c>
    </row>
    <row r="1490" spans="2:16" x14ac:dyDescent="0.25">
      <c r="B1490" s="336" t="s">
        <v>416</v>
      </c>
      <c r="C1490" s="337">
        <v>40716</v>
      </c>
      <c r="D1490" s="338" t="s">
        <v>6335</v>
      </c>
      <c r="E1490" s="338" t="s">
        <v>6334</v>
      </c>
      <c r="F1490" s="338"/>
      <c r="G1490" s="338">
        <v>62</v>
      </c>
      <c r="H1490" s="338" t="s">
        <v>425</v>
      </c>
      <c r="I1490" s="338" t="s">
        <v>411</v>
      </c>
      <c r="J1490" s="339"/>
      <c r="K1490" s="339"/>
      <c r="L1490" s="339" t="s">
        <v>409</v>
      </c>
      <c r="M1490" s="339" t="s">
        <v>409</v>
      </c>
      <c r="N1490" s="338" t="s">
        <v>417</v>
      </c>
      <c r="O1490" s="338" t="s">
        <v>409</v>
      </c>
      <c r="P1490" s="338" t="s">
        <v>417</v>
      </c>
    </row>
    <row r="1491" spans="2:16" x14ac:dyDescent="0.25">
      <c r="B1491" s="336" t="s">
        <v>416</v>
      </c>
      <c r="C1491" s="337">
        <v>40716</v>
      </c>
      <c r="D1491" s="338" t="s">
        <v>6333</v>
      </c>
      <c r="E1491" s="338" t="s">
        <v>2402</v>
      </c>
      <c r="F1491" s="338"/>
      <c r="G1491" s="338" t="s">
        <v>413</v>
      </c>
      <c r="H1491" s="338" t="s">
        <v>412</v>
      </c>
      <c r="I1491" s="338" t="s">
        <v>411</v>
      </c>
      <c r="J1491" s="339"/>
      <c r="K1491" s="339"/>
      <c r="L1491" s="339" t="s">
        <v>409</v>
      </c>
      <c r="M1491" s="339" t="s">
        <v>409</v>
      </c>
      <c r="N1491" s="338"/>
      <c r="O1491" s="338" t="s">
        <v>409</v>
      </c>
      <c r="P1491" s="338" t="s">
        <v>417</v>
      </c>
    </row>
    <row r="1492" spans="2:16" x14ac:dyDescent="0.25">
      <c r="B1492" s="336" t="s">
        <v>416</v>
      </c>
      <c r="C1492" s="337">
        <v>40716</v>
      </c>
      <c r="D1492" s="338" t="s">
        <v>6332</v>
      </c>
      <c r="E1492" s="338" t="s">
        <v>5547</v>
      </c>
      <c r="F1492" s="338" t="s">
        <v>5757</v>
      </c>
      <c r="G1492" s="338" t="s">
        <v>413</v>
      </c>
      <c r="H1492" s="338" t="s">
        <v>425</v>
      </c>
      <c r="I1492" s="338" t="s">
        <v>411</v>
      </c>
      <c r="J1492" s="339"/>
      <c r="K1492" s="339"/>
      <c r="L1492" s="339"/>
      <c r="M1492" s="339"/>
      <c r="N1492" s="338"/>
      <c r="O1492" s="338" t="s">
        <v>432</v>
      </c>
      <c r="P1492" s="338" t="s">
        <v>432</v>
      </c>
    </row>
    <row r="1493" spans="2:16" x14ac:dyDescent="0.25">
      <c r="B1493" s="336" t="s">
        <v>416</v>
      </c>
      <c r="C1493" s="337">
        <v>40716</v>
      </c>
      <c r="D1493" s="338" t="s">
        <v>6331</v>
      </c>
      <c r="E1493" s="338" t="s">
        <v>6330</v>
      </c>
      <c r="F1493" s="338" t="s">
        <v>6329</v>
      </c>
      <c r="G1493" s="338" t="s">
        <v>413</v>
      </c>
      <c r="H1493" s="338" t="s">
        <v>412</v>
      </c>
      <c r="I1493" s="338" t="s">
        <v>411</v>
      </c>
      <c r="J1493" s="339"/>
      <c r="K1493" s="339"/>
      <c r="L1493" s="339"/>
      <c r="M1493" s="339"/>
      <c r="N1493" s="338" t="s">
        <v>487</v>
      </c>
      <c r="O1493" s="338" t="s">
        <v>417</v>
      </c>
      <c r="P1493" s="338" t="s">
        <v>417</v>
      </c>
    </row>
    <row r="1494" spans="2:16" x14ac:dyDescent="0.25">
      <c r="B1494" s="336" t="s">
        <v>459</v>
      </c>
      <c r="C1494" s="337">
        <v>40715</v>
      </c>
      <c r="D1494" s="338" t="s">
        <v>6328</v>
      </c>
      <c r="E1494" s="338" t="s">
        <v>6327</v>
      </c>
      <c r="F1494" s="338"/>
      <c r="G1494" s="338">
        <v>165</v>
      </c>
      <c r="H1494" s="338" t="s">
        <v>425</v>
      </c>
      <c r="I1494" s="338" t="s">
        <v>411</v>
      </c>
      <c r="J1494" s="339"/>
      <c r="K1494" s="339"/>
      <c r="L1494" s="339" t="s">
        <v>409</v>
      </c>
      <c r="M1494" s="339" t="s">
        <v>409</v>
      </c>
      <c r="N1494" s="338" t="s">
        <v>432</v>
      </c>
      <c r="O1494" s="338" t="s">
        <v>409</v>
      </c>
      <c r="P1494" s="338"/>
    </row>
    <row r="1495" spans="2:16" x14ac:dyDescent="0.25">
      <c r="B1495" s="336" t="s">
        <v>416</v>
      </c>
      <c r="C1495" s="337">
        <v>40715</v>
      </c>
      <c r="D1495" s="338" t="s">
        <v>6326</v>
      </c>
      <c r="E1495" s="338" t="s">
        <v>6325</v>
      </c>
      <c r="F1495" s="338"/>
      <c r="G1495" s="338">
        <v>102.8</v>
      </c>
      <c r="H1495" s="338" t="s">
        <v>429</v>
      </c>
      <c r="I1495" s="338" t="s">
        <v>411</v>
      </c>
      <c r="J1495" s="339"/>
      <c r="K1495" s="339"/>
      <c r="L1495" s="339" t="s">
        <v>409</v>
      </c>
      <c r="M1495" s="339" t="s">
        <v>409</v>
      </c>
      <c r="N1495" s="338" t="s">
        <v>410</v>
      </c>
      <c r="O1495" s="338" t="s">
        <v>409</v>
      </c>
      <c r="P1495" s="338" t="s">
        <v>487</v>
      </c>
    </row>
    <row r="1496" spans="2:16" x14ac:dyDescent="0.25">
      <c r="B1496" s="336" t="s">
        <v>459</v>
      </c>
      <c r="C1496" s="337">
        <v>40715</v>
      </c>
      <c r="D1496" s="338" t="s">
        <v>6010</v>
      </c>
      <c r="E1496" s="338" t="s">
        <v>6009</v>
      </c>
      <c r="F1496" s="338"/>
      <c r="G1496" s="338">
        <v>2.5</v>
      </c>
      <c r="H1496" s="338" t="s">
        <v>425</v>
      </c>
      <c r="I1496" s="338" t="s">
        <v>411</v>
      </c>
      <c r="J1496" s="339"/>
      <c r="K1496" s="339"/>
      <c r="L1496" s="339" t="s">
        <v>409</v>
      </c>
      <c r="M1496" s="339" t="s">
        <v>409</v>
      </c>
      <c r="N1496" s="338" t="s">
        <v>417</v>
      </c>
      <c r="O1496" s="338" t="s">
        <v>409</v>
      </c>
      <c r="P1496" s="338"/>
    </row>
    <row r="1497" spans="2:16" x14ac:dyDescent="0.25">
      <c r="B1497" s="336" t="s">
        <v>416</v>
      </c>
      <c r="C1497" s="337">
        <v>40714</v>
      </c>
      <c r="D1497" s="338" t="s">
        <v>6324</v>
      </c>
      <c r="E1497" s="338" t="s">
        <v>6323</v>
      </c>
      <c r="F1497" s="338"/>
      <c r="G1497" s="338" t="s">
        <v>413</v>
      </c>
      <c r="H1497" s="338" t="s">
        <v>412</v>
      </c>
      <c r="I1497" s="338" t="s">
        <v>411</v>
      </c>
      <c r="J1497" s="339"/>
      <c r="K1497" s="339"/>
      <c r="L1497" s="339" t="s">
        <v>409</v>
      </c>
      <c r="M1497" s="339" t="s">
        <v>409</v>
      </c>
      <c r="N1497" s="338" t="s">
        <v>417</v>
      </c>
      <c r="O1497" s="338" t="s">
        <v>409</v>
      </c>
      <c r="P1497" s="338" t="s">
        <v>432</v>
      </c>
    </row>
    <row r="1498" spans="2:16" x14ac:dyDescent="0.25">
      <c r="B1498" s="336" t="s">
        <v>459</v>
      </c>
      <c r="C1498" s="337">
        <v>40714</v>
      </c>
      <c r="D1498" s="338" t="s">
        <v>6322</v>
      </c>
      <c r="E1498" s="338" t="s">
        <v>6321</v>
      </c>
      <c r="F1498" s="338"/>
      <c r="G1498" s="338">
        <v>5.5</v>
      </c>
      <c r="H1498" s="338" t="s">
        <v>425</v>
      </c>
      <c r="I1498" s="338" t="s">
        <v>411</v>
      </c>
      <c r="J1498" s="339"/>
      <c r="K1498" s="339"/>
      <c r="L1498" s="339" t="s">
        <v>409</v>
      </c>
      <c r="M1498" s="339" t="s">
        <v>409</v>
      </c>
      <c r="N1498" s="338" t="s">
        <v>487</v>
      </c>
      <c r="O1498" s="338" t="s">
        <v>409</v>
      </c>
      <c r="P1498" s="338"/>
    </row>
    <row r="1499" spans="2:16" x14ac:dyDescent="0.25">
      <c r="B1499" s="336" t="s">
        <v>416</v>
      </c>
      <c r="C1499" s="337">
        <v>40714</v>
      </c>
      <c r="D1499" s="338" t="s">
        <v>6320</v>
      </c>
      <c r="E1499" s="338" t="s">
        <v>6319</v>
      </c>
      <c r="F1499" s="338"/>
      <c r="G1499" s="338" t="s">
        <v>413</v>
      </c>
      <c r="H1499" s="338" t="s">
        <v>412</v>
      </c>
      <c r="I1499" s="338" t="s">
        <v>411</v>
      </c>
      <c r="J1499" s="339"/>
      <c r="K1499" s="339"/>
      <c r="L1499" s="339" t="s">
        <v>409</v>
      </c>
      <c r="M1499" s="339" t="s">
        <v>409</v>
      </c>
      <c r="N1499" s="338" t="s">
        <v>417</v>
      </c>
      <c r="O1499" s="338" t="s">
        <v>409</v>
      </c>
      <c r="P1499" s="338" t="s">
        <v>417</v>
      </c>
    </row>
    <row r="1500" spans="2:16" x14ac:dyDescent="0.25">
      <c r="B1500" s="336" t="s">
        <v>416</v>
      </c>
      <c r="C1500" s="337">
        <v>40714</v>
      </c>
      <c r="D1500" s="338" t="s">
        <v>6318</v>
      </c>
      <c r="E1500" s="338" t="s">
        <v>6317</v>
      </c>
      <c r="F1500" s="338"/>
      <c r="G1500" s="338" t="s">
        <v>413</v>
      </c>
      <c r="H1500" s="338" t="s">
        <v>412</v>
      </c>
      <c r="I1500" s="338" t="s">
        <v>411</v>
      </c>
      <c r="J1500" s="339"/>
      <c r="K1500" s="339"/>
      <c r="L1500" s="339" t="s">
        <v>409</v>
      </c>
      <c r="M1500" s="339" t="s">
        <v>409</v>
      </c>
      <c r="N1500" s="338" t="s">
        <v>417</v>
      </c>
      <c r="O1500" s="338" t="s">
        <v>409</v>
      </c>
      <c r="P1500" s="338" t="s">
        <v>487</v>
      </c>
    </row>
    <row r="1501" spans="2:16" x14ac:dyDescent="0.25">
      <c r="B1501" s="336" t="s">
        <v>416</v>
      </c>
      <c r="C1501" s="337">
        <v>40712</v>
      </c>
      <c r="D1501" s="338" t="s">
        <v>6316</v>
      </c>
      <c r="E1501" s="338" t="s">
        <v>6315</v>
      </c>
      <c r="F1501" s="338"/>
      <c r="G1501" s="338" t="s">
        <v>413</v>
      </c>
      <c r="H1501" s="338" t="s">
        <v>412</v>
      </c>
      <c r="I1501" s="338" t="s">
        <v>411</v>
      </c>
      <c r="J1501" s="339"/>
      <c r="K1501" s="339"/>
      <c r="L1501" s="339" t="s">
        <v>409</v>
      </c>
      <c r="M1501" s="339" t="s">
        <v>409</v>
      </c>
      <c r="N1501" s="338" t="s">
        <v>417</v>
      </c>
      <c r="O1501" s="338" t="s">
        <v>409</v>
      </c>
      <c r="P1501" s="338" t="s">
        <v>417</v>
      </c>
    </row>
    <row r="1502" spans="2:16" x14ac:dyDescent="0.25">
      <c r="B1502" s="336" t="s">
        <v>416</v>
      </c>
      <c r="C1502" s="337">
        <v>40711</v>
      </c>
      <c r="D1502" s="338" t="s">
        <v>6314</v>
      </c>
      <c r="E1502" s="338" t="s">
        <v>6313</v>
      </c>
      <c r="F1502" s="338"/>
      <c r="G1502" s="338" t="s">
        <v>413</v>
      </c>
      <c r="H1502" s="338" t="s">
        <v>412</v>
      </c>
      <c r="I1502" s="338" t="s">
        <v>411</v>
      </c>
      <c r="J1502" s="339"/>
      <c r="K1502" s="339"/>
      <c r="L1502" s="339" t="s">
        <v>409</v>
      </c>
      <c r="M1502" s="339" t="s">
        <v>409</v>
      </c>
      <c r="N1502" s="338" t="s">
        <v>417</v>
      </c>
      <c r="O1502" s="338" t="s">
        <v>409</v>
      </c>
      <c r="P1502" s="338" t="s">
        <v>410</v>
      </c>
    </row>
    <row r="1503" spans="2:16" x14ac:dyDescent="0.25">
      <c r="B1503" s="336" t="s">
        <v>416</v>
      </c>
      <c r="C1503" s="337">
        <v>40710</v>
      </c>
      <c r="D1503" s="338" t="s">
        <v>6312</v>
      </c>
      <c r="E1503" s="338" t="s">
        <v>6311</v>
      </c>
      <c r="F1503" s="338" t="s">
        <v>6310</v>
      </c>
      <c r="G1503" s="338" t="s">
        <v>413</v>
      </c>
      <c r="H1503" s="338" t="s">
        <v>425</v>
      </c>
      <c r="I1503" s="338" t="s">
        <v>411</v>
      </c>
      <c r="J1503" s="339"/>
      <c r="K1503" s="339"/>
      <c r="L1503" s="339"/>
      <c r="M1503" s="339"/>
      <c r="N1503" s="338"/>
      <c r="O1503" s="338" t="s">
        <v>417</v>
      </c>
      <c r="P1503" s="338" t="s">
        <v>432</v>
      </c>
    </row>
    <row r="1504" spans="2:16" x14ac:dyDescent="0.25">
      <c r="B1504" s="336" t="s">
        <v>416</v>
      </c>
      <c r="C1504" s="337">
        <v>40710</v>
      </c>
      <c r="D1504" s="338" t="s">
        <v>6309</v>
      </c>
      <c r="E1504" s="338" t="s">
        <v>2425</v>
      </c>
      <c r="F1504" s="338" t="s">
        <v>6308</v>
      </c>
      <c r="G1504" s="338">
        <v>3.55</v>
      </c>
      <c r="H1504" s="338" t="s">
        <v>336</v>
      </c>
      <c r="I1504" s="338" t="s">
        <v>411</v>
      </c>
      <c r="J1504" s="339"/>
      <c r="K1504" s="339"/>
      <c r="L1504" s="339"/>
      <c r="M1504" s="339"/>
      <c r="N1504" s="338" t="s">
        <v>417</v>
      </c>
      <c r="O1504" s="338" t="s">
        <v>482</v>
      </c>
      <c r="P1504" s="338" t="s">
        <v>417</v>
      </c>
    </row>
    <row r="1505" spans="2:16" x14ac:dyDescent="0.25">
      <c r="B1505" s="336" t="s">
        <v>459</v>
      </c>
      <c r="C1505" s="337">
        <v>40710</v>
      </c>
      <c r="D1505" s="338" t="s">
        <v>5506</v>
      </c>
      <c r="E1505" s="338" t="s">
        <v>6307</v>
      </c>
      <c r="F1505" s="338" t="s">
        <v>419</v>
      </c>
      <c r="G1505" s="338" t="s">
        <v>413</v>
      </c>
      <c r="H1505" s="338" t="s">
        <v>412</v>
      </c>
      <c r="I1505" s="338" t="s">
        <v>411</v>
      </c>
      <c r="J1505" s="339"/>
      <c r="K1505" s="339"/>
      <c r="L1505" s="339">
        <v>0.64154199999999995</v>
      </c>
      <c r="M1505" s="339">
        <v>2.8073899999999998</v>
      </c>
      <c r="N1505" s="338" t="s">
        <v>417</v>
      </c>
      <c r="O1505" s="338" t="s">
        <v>417</v>
      </c>
      <c r="P1505" s="338" t="s">
        <v>443</v>
      </c>
    </row>
    <row r="1506" spans="2:16" x14ac:dyDescent="0.25">
      <c r="B1506" s="336" t="s">
        <v>416</v>
      </c>
      <c r="C1506" s="337">
        <v>40709</v>
      </c>
      <c r="D1506" s="338" t="s">
        <v>6306</v>
      </c>
      <c r="E1506" s="338" t="s">
        <v>6305</v>
      </c>
      <c r="F1506" s="338" t="s">
        <v>3711</v>
      </c>
      <c r="G1506" s="338" t="s">
        <v>413</v>
      </c>
      <c r="H1506" s="338" t="s">
        <v>425</v>
      </c>
      <c r="I1506" s="338" t="s">
        <v>411</v>
      </c>
      <c r="J1506" s="339"/>
      <c r="K1506" s="339"/>
      <c r="L1506" s="339">
        <v>5.4952099999999997E-2</v>
      </c>
      <c r="M1506" s="339"/>
      <c r="N1506" s="338"/>
      <c r="O1506" s="338" t="s">
        <v>410</v>
      </c>
      <c r="P1506" s="338" t="s">
        <v>410</v>
      </c>
    </row>
    <row r="1507" spans="2:16" x14ac:dyDescent="0.25">
      <c r="B1507" s="336" t="s">
        <v>416</v>
      </c>
      <c r="C1507" s="337">
        <v>40708</v>
      </c>
      <c r="D1507" s="338" t="s">
        <v>6304</v>
      </c>
      <c r="E1507" s="338" t="s">
        <v>463</v>
      </c>
      <c r="F1507" s="338"/>
      <c r="G1507" s="338" t="s">
        <v>413</v>
      </c>
      <c r="H1507" s="338" t="s">
        <v>425</v>
      </c>
      <c r="I1507" s="338" t="s">
        <v>411</v>
      </c>
      <c r="J1507" s="339"/>
      <c r="K1507" s="339"/>
      <c r="L1507" s="339" t="s">
        <v>409</v>
      </c>
      <c r="M1507" s="339" t="s">
        <v>409</v>
      </c>
      <c r="N1507" s="338"/>
      <c r="O1507" s="338" t="s">
        <v>409</v>
      </c>
      <c r="P1507" s="338" t="s">
        <v>417</v>
      </c>
    </row>
    <row r="1508" spans="2:16" x14ac:dyDescent="0.25">
      <c r="B1508" s="336" t="s">
        <v>416</v>
      </c>
      <c r="C1508" s="337">
        <v>40707</v>
      </c>
      <c r="D1508" s="338" t="s">
        <v>6303</v>
      </c>
      <c r="E1508" s="338" t="s">
        <v>441</v>
      </c>
      <c r="F1508" s="338" t="s">
        <v>4928</v>
      </c>
      <c r="G1508" s="338" t="s">
        <v>413</v>
      </c>
      <c r="H1508" s="338" t="s">
        <v>425</v>
      </c>
      <c r="I1508" s="338" t="s">
        <v>411</v>
      </c>
      <c r="J1508" s="339"/>
      <c r="K1508" s="339"/>
      <c r="L1508" s="339">
        <v>1.1862999999999999</v>
      </c>
      <c r="M1508" s="339">
        <v>8.0235699999999994</v>
      </c>
      <c r="N1508" s="338"/>
      <c r="O1508" s="338" t="s">
        <v>408</v>
      </c>
      <c r="P1508" s="338" t="s">
        <v>417</v>
      </c>
    </row>
    <row r="1509" spans="2:16" x14ac:dyDescent="0.25">
      <c r="B1509" s="336" t="s">
        <v>459</v>
      </c>
      <c r="C1509" s="337">
        <v>40707</v>
      </c>
      <c r="D1509" s="338" t="s">
        <v>6302</v>
      </c>
      <c r="E1509" s="338" t="s">
        <v>6301</v>
      </c>
      <c r="F1509" s="338"/>
      <c r="G1509" s="338" t="s">
        <v>413</v>
      </c>
      <c r="H1509" s="338" t="s">
        <v>425</v>
      </c>
      <c r="I1509" s="338" t="s">
        <v>411</v>
      </c>
      <c r="J1509" s="339"/>
      <c r="K1509" s="339"/>
      <c r="L1509" s="339" t="s">
        <v>409</v>
      </c>
      <c r="M1509" s="339" t="s">
        <v>409</v>
      </c>
      <c r="N1509" s="338" t="s">
        <v>410</v>
      </c>
      <c r="O1509" s="338" t="s">
        <v>409</v>
      </c>
      <c r="P1509" s="338" t="s">
        <v>443</v>
      </c>
    </row>
    <row r="1510" spans="2:16" x14ac:dyDescent="0.25">
      <c r="B1510" s="336" t="s">
        <v>416</v>
      </c>
      <c r="C1510" s="337">
        <v>40707</v>
      </c>
      <c r="D1510" s="338" t="s">
        <v>6300</v>
      </c>
      <c r="E1510" s="338" t="s">
        <v>453</v>
      </c>
      <c r="F1510" s="338" t="s">
        <v>1249</v>
      </c>
      <c r="G1510" s="338">
        <v>320</v>
      </c>
      <c r="H1510" s="338" t="s">
        <v>425</v>
      </c>
      <c r="I1510" s="338" t="s">
        <v>411</v>
      </c>
      <c r="J1510" s="339"/>
      <c r="K1510" s="339"/>
      <c r="L1510" s="339">
        <v>1.74013</v>
      </c>
      <c r="M1510" s="339">
        <v>11.651400000000001</v>
      </c>
      <c r="N1510" s="338" t="s">
        <v>417</v>
      </c>
      <c r="O1510" s="338" t="s">
        <v>417</v>
      </c>
      <c r="P1510" s="338" t="s">
        <v>443</v>
      </c>
    </row>
    <row r="1511" spans="2:16" x14ac:dyDescent="0.25">
      <c r="B1511" s="336" t="s">
        <v>416</v>
      </c>
      <c r="C1511" s="337">
        <v>40706</v>
      </c>
      <c r="D1511" s="338" t="s">
        <v>6299</v>
      </c>
      <c r="E1511" s="338" t="s">
        <v>2173</v>
      </c>
      <c r="F1511" s="338"/>
      <c r="G1511" s="338" t="s">
        <v>413</v>
      </c>
      <c r="H1511" s="338" t="s">
        <v>425</v>
      </c>
      <c r="I1511" s="338" t="s">
        <v>411</v>
      </c>
      <c r="J1511" s="339"/>
      <c r="K1511" s="339"/>
      <c r="L1511" s="339" t="s">
        <v>409</v>
      </c>
      <c r="M1511" s="339" t="s">
        <v>409</v>
      </c>
      <c r="N1511" s="338" t="s">
        <v>417</v>
      </c>
      <c r="O1511" s="338" t="s">
        <v>409</v>
      </c>
      <c r="P1511" s="338" t="s">
        <v>443</v>
      </c>
    </row>
    <row r="1512" spans="2:16" x14ac:dyDescent="0.25">
      <c r="B1512" s="336" t="s">
        <v>416</v>
      </c>
      <c r="C1512" s="337">
        <v>40704</v>
      </c>
      <c r="D1512" s="338" t="s">
        <v>6298</v>
      </c>
      <c r="E1512" s="338" t="s">
        <v>6297</v>
      </c>
      <c r="F1512" s="338"/>
      <c r="G1512" s="338" t="s">
        <v>413</v>
      </c>
      <c r="H1512" s="338" t="s">
        <v>412</v>
      </c>
      <c r="I1512" s="338" t="s">
        <v>411</v>
      </c>
      <c r="J1512" s="339"/>
      <c r="K1512" s="339"/>
      <c r="L1512" s="339" t="s">
        <v>409</v>
      </c>
      <c r="M1512" s="339" t="s">
        <v>409</v>
      </c>
      <c r="N1512" s="338" t="s">
        <v>417</v>
      </c>
      <c r="O1512" s="338" t="s">
        <v>409</v>
      </c>
      <c r="P1512" s="338" t="s">
        <v>417</v>
      </c>
    </row>
    <row r="1513" spans="2:16" x14ac:dyDescent="0.25">
      <c r="B1513" s="336" t="s">
        <v>416</v>
      </c>
      <c r="C1513" s="337">
        <v>40704</v>
      </c>
      <c r="D1513" s="338" t="s">
        <v>6296</v>
      </c>
      <c r="E1513" s="338" t="s">
        <v>2422</v>
      </c>
      <c r="F1513" s="338"/>
      <c r="G1513" s="338" t="s">
        <v>413</v>
      </c>
      <c r="H1513" s="338" t="s">
        <v>425</v>
      </c>
      <c r="I1513" s="338" t="s">
        <v>411</v>
      </c>
      <c r="J1513" s="339"/>
      <c r="K1513" s="339"/>
      <c r="L1513" s="339" t="s">
        <v>409</v>
      </c>
      <c r="M1513" s="339" t="s">
        <v>409</v>
      </c>
      <c r="N1513" s="338" t="s">
        <v>417</v>
      </c>
      <c r="O1513" s="338" t="s">
        <v>409</v>
      </c>
      <c r="P1513" s="338" t="s">
        <v>417</v>
      </c>
    </row>
    <row r="1514" spans="2:16" x14ac:dyDescent="0.25">
      <c r="B1514" s="336" t="s">
        <v>459</v>
      </c>
      <c r="C1514" s="337">
        <v>40704</v>
      </c>
      <c r="D1514" s="338" t="s">
        <v>6295</v>
      </c>
      <c r="E1514" s="338" t="s">
        <v>6294</v>
      </c>
      <c r="F1514" s="338"/>
      <c r="G1514" s="338" t="s">
        <v>413</v>
      </c>
      <c r="H1514" s="338" t="s">
        <v>412</v>
      </c>
      <c r="I1514" s="338" t="s">
        <v>411</v>
      </c>
      <c r="J1514" s="339"/>
      <c r="K1514" s="339"/>
      <c r="L1514" s="339" t="s">
        <v>409</v>
      </c>
      <c r="M1514" s="339" t="s">
        <v>409</v>
      </c>
      <c r="N1514" s="338" t="s">
        <v>417</v>
      </c>
      <c r="O1514" s="338" t="s">
        <v>409</v>
      </c>
      <c r="P1514" s="338" t="s">
        <v>443</v>
      </c>
    </row>
    <row r="1515" spans="2:16" x14ac:dyDescent="0.25">
      <c r="B1515" s="336" t="s">
        <v>416</v>
      </c>
      <c r="C1515" s="337">
        <v>40703</v>
      </c>
      <c r="D1515" s="338" t="s">
        <v>6293</v>
      </c>
      <c r="E1515" s="338" t="s">
        <v>423</v>
      </c>
      <c r="F1515" s="338" t="s">
        <v>1159</v>
      </c>
      <c r="G1515" s="338" t="s">
        <v>413</v>
      </c>
      <c r="H1515" s="338" t="s">
        <v>425</v>
      </c>
      <c r="I1515" s="338" t="s">
        <v>411</v>
      </c>
      <c r="J1515" s="339"/>
      <c r="K1515" s="339"/>
      <c r="L1515" s="339"/>
      <c r="M1515" s="339"/>
      <c r="N1515" s="338" t="s">
        <v>417</v>
      </c>
      <c r="O1515" s="338" t="s">
        <v>443</v>
      </c>
      <c r="P1515" s="338"/>
    </row>
    <row r="1516" spans="2:16" x14ac:dyDescent="0.25">
      <c r="B1516" s="336" t="s">
        <v>416</v>
      </c>
      <c r="C1516" s="337">
        <v>40703</v>
      </c>
      <c r="D1516" s="338" t="s">
        <v>6292</v>
      </c>
      <c r="E1516" s="338" t="s">
        <v>2869</v>
      </c>
      <c r="F1516" s="338"/>
      <c r="G1516" s="338" t="s">
        <v>413</v>
      </c>
      <c r="H1516" s="338" t="s">
        <v>412</v>
      </c>
      <c r="I1516" s="338" t="s">
        <v>411</v>
      </c>
      <c r="J1516" s="339"/>
      <c r="K1516" s="339"/>
      <c r="L1516" s="339" t="s">
        <v>409</v>
      </c>
      <c r="M1516" s="339" t="s">
        <v>409</v>
      </c>
      <c r="N1516" s="338" t="s">
        <v>417</v>
      </c>
      <c r="O1516" s="338" t="s">
        <v>409</v>
      </c>
      <c r="P1516" s="338" t="s">
        <v>417</v>
      </c>
    </row>
    <row r="1517" spans="2:16" x14ac:dyDescent="0.25">
      <c r="B1517" s="336" t="s">
        <v>416</v>
      </c>
      <c r="C1517" s="337">
        <v>40701</v>
      </c>
      <c r="D1517" s="338" t="s">
        <v>945</v>
      </c>
      <c r="E1517" s="338" t="s">
        <v>6291</v>
      </c>
      <c r="F1517" s="338" t="s">
        <v>6290</v>
      </c>
      <c r="G1517" s="338">
        <v>0.5</v>
      </c>
      <c r="H1517" s="338" t="s">
        <v>336</v>
      </c>
      <c r="I1517" s="338" t="s">
        <v>411</v>
      </c>
      <c r="J1517" s="339"/>
      <c r="K1517" s="339"/>
      <c r="L1517" s="339"/>
      <c r="M1517" s="339"/>
      <c r="N1517" s="338"/>
      <c r="O1517" s="338" t="s">
        <v>417</v>
      </c>
      <c r="P1517" s="338" t="s">
        <v>410</v>
      </c>
    </row>
    <row r="1518" spans="2:16" x14ac:dyDescent="0.25">
      <c r="B1518" s="336" t="s">
        <v>416</v>
      </c>
      <c r="C1518" s="337">
        <v>40701</v>
      </c>
      <c r="D1518" s="338" t="s">
        <v>6289</v>
      </c>
      <c r="E1518" s="338" t="s">
        <v>5965</v>
      </c>
      <c r="F1518" s="338" t="s">
        <v>6288</v>
      </c>
      <c r="G1518" s="338">
        <v>8.07</v>
      </c>
      <c r="H1518" s="338" t="s">
        <v>425</v>
      </c>
      <c r="I1518" s="338" t="s">
        <v>411</v>
      </c>
      <c r="J1518" s="339"/>
      <c r="K1518" s="339"/>
      <c r="L1518" s="339"/>
      <c r="M1518" s="339"/>
      <c r="N1518" s="338"/>
      <c r="O1518" s="338" t="s">
        <v>408</v>
      </c>
      <c r="P1518" s="338" t="s">
        <v>417</v>
      </c>
    </row>
    <row r="1519" spans="2:16" x14ac:dyDescent="0.25">
      <c r="B1519" s="336" t="s">
        <v>459</v>
      </c>
      <c r="C1519" s="337">
        <v>40701</v>
      </c>
      <c r="D1519" s="338" t="s">
        <v>6287</v>
      </c>
      <c r="E1519" s="338" t="s">
        <v>6286</v>
      </c>
      <c r="F1519" s="338"/>
      <c r="G1519" s="338">
        <v>2.2999999999999998</v>
      </c>
      <c r="H1519" s="338" t="s">
        <v>425</v>
      </c>
      <c r="I1519" s="338" t="s">
        <v>411</v>
      </c>
      <c r="J1519" s="339"/>
      <c r="K1519" s="339"/>
      <c r="L1519" s="339" t="s">
        <v>409</v>
      </c>
      <c r="M1519" s="339" t="s">
        <v>409</v>
      </c>
      <c r="N1519" s="338" t="s">
        <v>417</v>
      </c>
      <c r="O1519" s="338" t="s">
        <v>409</v>
      </c>
      <c r="P1519" s="338"/>
    </row>
    <row r="1520" spans="2:16" x14ac:dyDescent="0.25">
      <c r="B1520" s="336" t="s">
        <v>416</v>
      </c>
      <c r="C1520" s="337">
        <v>40700</v>
      </c>
      <c r="D1520" s="338" t="s">
        <v>6285</v>
      </c>
      <c r="E1520" s="338" t="s">
        <v>6284</v>
      </c>
      <c r="F1520" s="338" t="s">
        <v>764</v>
      </c>
      <c r="G1520" s="338">
        <v>1025</v>
      </c>
      <c r="H1520" s="338" t="s">
        <v>425</v>
      </c>
      <c r="I1520" s="338" t="s">
        <v>411</v>
      </c>
      <c r="J1520" s="339"/>
      <c r="K1520" s="339"/>
      <c r="L1520" s="339">
        <v>7.6588500000000002</v>
      </c>
      <c r="M1520" s="339">
        <v>16.0794</v>
      </c>
      <c r="N1520" s="338" t="s">
        <v>417</v>
      </c>
      <c r="O1520" s="338" t="s">
        <v>443</v>
      </c>
      <c r="P1520" s="338"/>
    </row>
    <row r="1521" spans="2:16" x14ac:dyDescent="0.25">
      <c r="B1521" s="336" t="s">
        <v>416</v>
      </c>
      <c r="C1521" s="337">
        <v>40700</v>
      </c>
      <c r="D1521" s="338" t="s">
        <v>6283</v>
      </c>
      <c r="E1521" s="338" t="s">
        <v>6282</v>
      </c>
      <c r="F1521" s="338"/>
      <c r="G1521" s="338" t="s">
        <v>413</v>
      </c>
      <c r="H1521" s="338" t="s">
        <v>429</v>
      </c>
      <c r="I1521" s="338" t="s">
        <v>411</v>
      </c>
      <c r="J1521" s="339"/>
      <c r="K1521" s="339"/>
      <c r="L1521" s="339" t="s">
        <v>409</v>
      </c>
      <c r="M1521" s="339" t="s">
        <v>409</v>
      </c>
      <c r="N1521" s="338" t="s">
        <v>410</v>
      </c>
      <c r="O1521" s="338" t="s">
        <v>409</v>
      </c>
      <c r="P1521" s="338" t="s">
        <v>605</v>
      </c>
    </row>
    <row r="1522" spans="2:16" x14ac:dyDescent="0.25">
      <c r="B1522" s="336" t="s">
        <v>416</v>
      </c>
      <c r="C1522" s="337">
        <v>40697</v>
      </c>
      <c r="D1522" s="338" t="s">
        <v>3488</v>
      </c>
      <c r="E1522" s="338" t="s">
        <v>1225</v>
      </c>
      <c r="F1522" s="338" t="s">
        <v>6281</v>
      </c>
      <c r="G1522" s="338" t="s">
        <v>413</v>
      </c>
      <c r="H1522" s="338" t="s">
        <v>425</v>
      </c>
      <c r="I1522" s="338" t="s">
        <v>411</v>
      </c>
      <c r="J1522" s="339"/>
      <c r="K1522" s="339"/>
      <c r="L1522" s="339"/>
      <c r="M1522" s="339"/>
      <c r="N1522" s="338"/>
      <c r="O1522" s="338" t="s">
        <v>417</v>
      </c>
      <c r="P1522" s="338" t="s">
        <v>417</v>
      </c>
    </row>
    <row r="1523" spans="2:16" x14ac:dyDescent="0.25">
      <c r="B1523" s="336" t="s">
        <v>416</v>
      </c>
      <c r="C1523" s="337">
        <v>40697</v>
      </c>
      <c r="D1523" s="338" t="s">
        <v>6280</v>
      </c>
      <c r="E1523" s="338" t="s">
        <v>531</v>
      </c>
      <c r="F1523" s="338" t="s">
        <v>6279</v>
      </c>
      <c r="G1523" s="338">
        <v>3.1</v>
      </c>
      <c r="H1523" s="338" t="s">
        <v>425</v>
      </c>
      <c r="I1523" s="338" t="s">
        <v>411</v>
      </c>
      <c r="J1523" s="339"/>
      <c r="K1523" s="339"/>
      <c r="L1523" s="339"/>
      <c r="M1523" s="339"/>
      <c r="N1523" s="338"/>
      <c r="O1523" s="338" t="s">
        <v>410</v>
      </c>
      <c r="P1523" s="338" t="s">
        <v>417</v>
      </c>
    </row>
    <row r="1524" spans="2:16" x14ac:dyDescent="0.25">
      <c r="B1524" s="336" t="s">
        <v>416</v>
      </c>
      <c r="C1524" s="337">
        <v>40696</v>
      </c>
      <c r="D1524" s="338" t="s">
        <v>6278</v>
      </c>
      <c r="E1524" s="338" t="s">
        <v>3574</v>
      </c>
      <c r="F1524" s="338"/>
      <c r="G1524" s="338" t="s">
        <v>413</v>
      </c>
      <c r="H1524" s="338" t="s">
        <v>425</v>
      </c>
      <c r="I1524" s="338" t="s">
        <v>411</v>
      </c>
      <c r="J1524" s="339"/>
      <c r="K1524" s="339"/>
      <c r="L1524" s="339" t="s">
        <v>409</v>
      </c>
      <c r="M1524" s="339" t="s">
        <v>409</v>
      </c>
      <c r="N1524" s="338" t="s">
        <v>417</v>
      </c>
      <c r="O1524" s="338" t="s">
        <v>409</v>
      </c>
      <c r="P1524" s="338" t="s">
        <v>417</v>
      </c>
    </row>
    <row r="1525" spans="2:16" x14ac:dyDescent="0.25">
      <c r="B1525" s="336" t="s">
        <v>416</v>
      </c>
      <c r="C1525" s="337">
        <v>40696</v>
      </c>
      <c r="D1525" s="338" t="s">
        <v>6277</v>
      </c>
      <c r="E1525" s="338" t="s">
        <v>485</v>
      </c>
      <c r="F1525" s="338"/>
      <c r="G1525" s="338">
        <v>0.43</v>
      </c>
      <c r="H1525" s="338" t="s">
        <v>425</v>
      </c>
      <c r="I1525" s="338" t="s">
        <v>411</v>
      </c>
      <c r="J1525" s="339"/>
      <c r="K1525" s="339"/>
      <c r="L1525" s="339" t="s">
        <v>409</v>
      </c>
      <c r="M1525" s="339" t="s">
        <v>409</v>
      </c>
      <c r="N1525" s="338"/>
      <c r="O1525" s="338" t="s">
        <v>409</v>
      </c>
      <c r="P1525" s="338" t="s">
        <v>417</v>
      </c>
    </row>
    <row r="1526" spans="2:16" x14ac:dyDescent="0.25">
      <c r="B1526" s="336" t="s">
        <v>459</v>
      </c>
      <c r="C1526" s="337">
        <v>40695</v>
      </c>
      <c r="D1526" s="338" t="s">
        <v>6276</v>
      </c>
      <c r="E1526" s="338" t="s">
        <v>669</v>
      </c>
      <c r="F1526" s="338"/>
      <c r="G1526" s="338" t="s">
        <v>413</v>
      </c>
      <c r="H1526" s="338" t="s">
        <v>425</v>
      </c>
      <c r="I1526" s="338" t="s">
        <v>411</v>
      </c>
      <c r="J1526" s="339"/>
      <c r="K1526" s="339"/>
      <c r="L1526" s="339" t="s">
        <v>409</v>
      </c>
      <c r="M1526" s="339" t="s">
        <v>409</v>
      </c>
      <c r="N1526" s="338" t="s">
        <v>417</v>
      </c>
      <c r="O1526" s="338" t="s">
        <v>409</v>
      </c>
      <c r="P1526" s="338"/>
    </row>
    <row r="1527" spans="2:16" x14ac:dyDescent="0.25">
      <c r="B1527" s="336" t="s">
        <v>416</v>
      </c>
      <c r="C1527" s="337">
        <v>40695</v>
      </c>
      <c r="D1527" s="338" t="s">
        <v>6275</v>
      </c>
      <c r="E1527" s="338" t="s">
        <v>6274</v>
      </c>
      <c r="F1527" s="338"/>
      <c r="G1527" s="338" t="s">
        <v>413</v>
      </c>
      <c r="H1527" s="338" t="s">
        <v>412</v>
      </c>
      <c r="I1527" s="338" t="s">
        <v>411</v>
      </c>
      <c r="J1527" s="339"/>
      <c r="K1527" s="339"/>
      <c r="L1527" s="339" t="s">
        <v>409</v>
      </c>
      <c r="M1527" s="339" t="s">
        <v>409</v>
      </c>
      <c r="N1527" s="338"/>
      <c r="O1527" s="338" t="s">
        <v>409</v>
      </c>
      <c r="P1527" s="338" t="s">
        <v>408</v>
      </c>
    </row>
    <row r="1528" spans="2:16" x14ac:dyDescent="0.25">
      <c r="B1528" s="336" t="s">
        <v>459</v>
      </c>
      <c r="C1528" s="337">
        <v>40695</v>
      </c>
      <c r="D1528" s="338" t="s">
        <v>6273</v>
      </c>
      <c r="E1528" s="338" t="s">
        <v>669</v>
      </c>
      <c r="F1528" s="338"/>
      <c r="G1528" s="338" t="s">
        <v>413</v>
      </c>
      <c r="H1528" s="338" t="s">
        <v>425</v>
      </c>
      <c r="I1528" s="338" t="s">
        <v>411</v>
      </c>
      <c r="J1528" s="339"/>
      <c r="K1528" s="339"/>
      <c r="L1528" s="339" t="s">
        <v>409</v>
      </c>
      <c r="M1528" s="339" t="s">
        <v>409</v>
      </c>
      <c r="N1528" s="338" t="s">
        <v>417</v>
      </c>
      <c r="O1528" s="338" t="s">
        <v>409</v>
      </c>
      <c r="P1528" s="338"/>
    </row>
    <row r="1529" spans="2:16" x14ac:dyDescent="0.25">
      <c r="B1529" s="336" t="s">
        <v>416</v>
      </c>
      <c r="C1529" s="337">
        <v>40695</v>
      </c>
      <c r="D1529" s="338" t="s">
        <v>6272</v>
      </c>
      <c r="E1529" s="338" t="s">
        <v>6271</v>
      </c>
      <c r="F1529" s="338"/>
      <c r="G1529" s="338">
        <v>8.1</v>
      </c>
      <c r="H1529" s="338" t="s">
        <v>425</v>
      </c>
      <c r="I1529" s="338" t="s">
        <v>411</v>
      </c>
      <c r="J1529" s="339"/>
      <c r="K1529" s="339"/>
      <c r="L1529" s="339" t="s">
        <v>409</v>
      </c>
      <c r="M1529" s="339" t="s">
        <v>409</v>
      </c>
      <c r="N1529" s="338"/>
      <c r="O1529" s="338" t="s">
        <v>409</v>
      </c>
      <c r="P1529" s="338" t="s">
        <v>443</v>
      </c>
    </row>
    <row r="1530" spans="2:16" x14ac:dyDescent="0.25">
      <c r="B1530" s="336" t="s">
        <v>459</v>
      </c>
      <c r="C1530" s="337">
        <v>40695</v>
      </c>
      <c r="D1530" s="338" t="s">
        <v>6270</v>
      </c>
      <c r="E1530" s="338" t="s">
        <v>6269</v>
      </c>
      <c r="F1530" s="338"/>
      <c r="G1530" s="338" t="s">
        <v>413</v>
      </c>
      <c r="H1530" s="338" t="s">
        <v>412</v>
      </c>
      <c r="I1530" s="338" t="s">
        <v>411</v>
      </c>
      <c r="J1530" s="339"/>
      <c r="K1530" s="339"/>
      <c r="L1530" s="339" t="s">
        <v>409</v>
      </c>
      <c r="M1530" s="339" t="s">
        <v>409</v>
      </c>
      <c r="N1530" s="338" t="s">
        <v>432</v>
      </c>
      <c r="O1530" s="338" t="s">
        <v>409</v>
      </c>
      <c r="P1530" s="338" t="s">
        <v>417</v>
      </c>
    </row>
    <row r="1531" spans="2:16" x14ac:dyDescent="0.25">
      <c r="B1531" s="336" t="s">
        <v>459</v>
      </c>
      <c r="C1531" s="337">
        <v>40695</v>
      </c>
      <c r="D1531" s="338" t="s">
        <v>6268</v>
      </c>
      <c r="E1531" s="338" t="s">
        <v>3407</v>
      </c>
      <c r="F1531" s="338"/>
      <c r="G1531" s="338" t="s">
        <v>413</v>
      </c>
      <c r="H1531" s="338" t="s">
        <v>412</v>
      </c>
      <c r="I1531" s="338" t="s">
        <v>411</v>
      </c>
      <c r="J1531" s="339"/>
      <c r="K1531" s="339"/>
      <c r="L1531" s="339" t="s">
        <v>409</v>
      </c>
      <c r="M1531" s="339" t="s">
        <v>409</v>
      </c>
      <c r="N1531" s="338" t="s">
        <v>417</v>
      </c>
      <c r="O1531" s="338" t="s">
        <v>409</v>
      </c>
      <c r="P1531" s="338" t="s">
        <v>543</v>
      </c>
    </row>
    <row r="1532" spans="2:16" x14ac:dyDescent="0.25">
      <c r="B1532" s="336" t="s">
        <v>416</v>
      </c>
      <c r="C1532" s="337">
        <v>40694</v>
      </c>
      <c r="D1532" s="338" t="s">
        <v>6267</v>
      </c>
      <c r="E1532" s="338" t="s">
        <v>6266</v>
      </c>
      <c r="F1532" s="338"/>
      <c r="G1532" s="338" t="s">
        <v>413</v>
      </c>
      <c r="H1532" s="338" t="s">
        <v>425</v>
      </c>
      <c r="I1532" s="338" t="s">
        <v>411</v>
      </c>
      <c r="J1532" s="339"/>
      <c r="K1532" s="339"/>
      <c r="L1532" s="339" t="s">
        <v>409</v>
      </c>
      <c r="M1532" s="339" t="s">
        <v>409</v>
      </c>
      <c r="N1532" s="338" t="s">
        <v>417</v>
      </c>
      <c r="O1532" s="338" t="s">
        <v>409</v>
      </c>
      <c r="P1532" s="338" t="s">
        <v>443</v>
      </c>
    </row>
    <row r="1533" spans="2:16" x14ac:dyDescent="0.25">
      <c r="B1533" s="336" t="s">
        <v>416</v>
      </c>
      <c r="C1533" s="337">
        <v>40694</v>
      </c>
      <c r="D1533" s="338" t="s">
        <v>6265</v>
      </c>
      <c r="E1533" s="338" t="s">
        <v>808</v>
      </c>
      <c r="F1533" s="338" t="s">
        <v>3494</v>
      </c>
      <c r="G1533" s="338" t="s">
        <v>413</v>
      </c>
      <c r="H1533" s="338" t="s">
        <v>425</v>
      </c>
      <c r="I1533" s="338" t="s">
        <v>411</v>
      </c>
      <c r="J1533" s="339"/>
      <c r="K1533" s="339"/>
      <c r="L1533" s="339">
        <v>4.4746899999999998</v>
      </c>
      <c r="M1533" s="339">
        <v>11.501300000000001</v>
      </c>
      <c r="N1533" s="338"/>
      <c r="O1533" s="338" t="s">
        <v>417</v>
      </c>
      <c r="P1533" s="338" t="s">
        <v>417</v>
      </c>
    </row>
    <row r="1534" spans="2:16" x14ac:dyDescent="0.25">
      <c r="B1534" s="336" t="s">
        <v>416</v>
      </c>
      <c r="C1534" s="337">
        <v>40694</v>
      </c>
      <c r="D1534" s="338" t="s">
        <v>6264</v>
      </c>
      <c r="E1534" s="338" t="s">
        <v>6263</v>
      </c>
      <c r="F1534" s="338" t="s">
        <v>6262</v>
      </c>
      <c r="G1534" s="338">
        <v>170</v>
      </c>
      <c r="H1534" s="338" t="s">
        <v>425</v>
      </c>
      <c r="I1534" s="338" t="s">
        <v>411</v>
      </c>
      <c r="J1534" s="339"/>
      <c r="K1534" s="339"/>
      <c r="L1534" s="339"/>
      <c r="M1534" s="339"/>
      <c r="N1534" s="338"/>
      <c r="O1534" s="338" t="s">
        <v>417</v>
      </c>
      <c r="P1534" s="338" t="s">
        <v>417</v>
      </c>
    </row>
    <row r="1535" spans="2:16" x14ac:dyDescent="0.25">
      <c r="B1535" s="336" t="s">
        <v>416</v>
      </c>
      <c r="C1535" s="337">
        <v>40693</v>
      </c>
      <c r="D1535" s="338" t="s">
        <v>4307</v>
      </c>
      <c r="E1535" s="338" t="s">
        <v>6261</v>
      </c>
      <c r="F1535" s="338" t="s">
        <v>6260</v>
      </c>
      <c r="G1535" s="338">
        <v>91</v>
      </c>
      <c r="H1535" s="338" t="s">
        <v>425</v>
      </c>
      <c r="I1535" s="338" t="s">
        <v>411</v>
      </c>
      <c r="J1535" s="339"/>
      <c r="K1535" s="339"/>
      <c r="L1535" s="339"/>
      <c r="M1535" s="339"/>
      <c r="N1535" s="338" t="s">
        <v>417</v>
      </c>
      <c r="O1535" s="338"/>
      <c r="P1535" s="338" t="s">
        <v>410</v>
      </c>
    </row>
    <row r="1536" spans="2:16" x14ac:dyDescent="0.25">
      <c r="B1536" s="336" t="s">
        <v>416</v>
      </c>
      <c r="C1536" s="337">
        <v>40690</v>
      </c>
      <c r="D1536" s="338" t="s">
        <v>6259</v>
      </c>
      <c r="E1536" s="338" t="s">
        <v>6258</v>
      </c>
      <c r="F1536" s="338"/>
      <c r="G1536" s="338" t="s">
        <v>413</v>
      </c>
      <c r="H1536" s="338" t="s">
        <v>412</v>
      </c>
      <c r="I1536" s="338" t="s">
        <v>411</v>
      </c>
      <c r="J1536" s="339"/>
      <c r="K1536" s="339"/>
      <c r="L1536" s="339" t="s">
        <v>409</v>
      </c>
      <c r="M1536" s="339" t="s">
        <v>409</v>
      </c>
      <c r="N1536" s="338" t="s">
        <v>417</v>
      </c>
      <c r="O1536" s="338" t="s">
        <v>409</v>
      </c>
      <c r="P1536" s="338" t="s">
        <v>410</v>
      </c>
    </row>
    <row r="1537" spans="2:16" x14ac:dyDescent="0.25">
      <c r="B1537" s="336" t="s">
        <v>459</v>
      </c>
      <c r="C1537" s="337">
        <v>40689</v>
      </c>
      <c r="D1537" s="338" t="s">
        <v>6257</v>
      </c>
      <c r="E1537" s="338" t="s">
        <v>514</v>
      </c>
      <c r="F1537" s="338" t="s">
        <v>6256</v>
      </c>
      <c r="G1537" s="338">
        <v>200</v>
      </c>
      <c r="H1537" s="338" t="s">
        <v>425</v>
      </c>
      <c r="I1537" s="338" t="s">
        <v>1243</v>
      </c>
      <c r="J1537" s="339"/>
      <c r="K1537" s="339"/>
      <c r="L1537" s="339"/>
      <c r="M1537" s="339"/>
      <c r="N1537" s="338" t="s">
        <v>417</v>
      </c>
      <c r="O1537" s="338" t="s">
        <v>443</v>
      </c>
      <c r="P1537" s="338"/>
    </row>
    <row r="1538" spans="2:16" x14ac:dyDescent="0.25">
      <c r="B1538" s="336" t="s">
        <v>459</v>
      </c>
      <c r="C1538" s="337">
        <v>40689</v>
      </c>
      <c r="D1538" s="338" t="s">
        <v>6255</v>
      </c>
      <c r="E1538" s="338" t="s">
        <v>742</v>
      </c>
      <c r="F1538" s="338"/>
      <c r="G1538" s="338">
        <v>95</v>
      </c>
      <c r="H1538" s="338" t="s">
        <v>425</v>
      </c>
      <c r="I1538" s="338" t="s">
        <v>411</v>
      </c>
      <c r="J1538" s="339"/>
      <c r="K1538" s="339"/>
      <c r="L1538" s="339" t="s">
        <v>409</v>
      </c>
      <c r="M1538" s="339" t="s">
        <v>409</v>
      </c>
      <c r="N1538" s="338" t="s">
        <v>443</v>
      </c>
      <c r="O1538" s="338" t="s">
        <v>409</v>
      </c>
      <c r="P1538" s="338" t="s">
        <v>417</v>
      </c>
    </row>
    <row r="1539" spans="2:16" x14ac:dyDescent="0.25">
      <c r="B1539" s="336" t="s">
        <v>416</v>
      </c>
      <c r="C1539" s="337">
        <v>40689</v>
      </c>
      <c r="D1539" s="338" t="s">
        <v>422</v>
      </c>
      <c r="E1539" s="338" t="s">
        <v>6254</v>
      </c>
      <c r="F1539" s="338"/>
      <c r="G1539" s="338">
        <v>13.26</v>
      </c>
      <c r="H1539" s="338" t="s">
        <v>425</v>
      </c>
      <c r="I1539" s="338" t="s">
        <v>411</v>
      </c>
      <c r="J1539" s="339">
        <v>0.18251100000000001</v>
      </c>
      <c r="K1539" s="339"/>
      <c r="L1539" s="339" t="s">
        <v>409</v>
      </c>
      <c r="M1539" s="339" t="s">
        <v>409</v>
      </c>
      <c r="N1539" s="338" t="s">
        <v>417</v>
      </c>
      <c r="O1539" s="338" t="s">
        <v>409</v>
      </c>
      <c r="P1539" s="338" t="s">
        <v>417</v>
      </c>
    </row>
    <row r="1540" spans="2:16" x14ac:dyDescent="0.25">
      <c r="B1540" s="336" t="s">
        <v>416</v>
      </c>
      <c r="C1540" s="337">
        <v>40689</v>
      </c>
      <c r="D1540" s="338" t="s">
        <v>6253</v>
      </c>
      <c r="E1540" s="338" t="s">
        <v>3381</v>
      </c>
      <c r="F1540" s="338"/>
      <c r="G1540" s="338" t="s">
        <v>413</v>
      </c>
      <c r="H1540" s="338" t="s">
        <v>425</v>
      </c>
      <c r="I1540" s="338" t="s">
        <v>411</v>
      </c>
      <c r="J1540" s="339"/>
      <c r="K1540" s="339"/>
      <c r="L1540" s="339" t="s">
        <v>409</v>
      </c>
      <c r="M1540" s="339" t="s">
        <v>409</v>
      </c>
      <c r="N1540" s="338" t="s">
        <v>417</v>
      </c>
      <c r="O1540" s="338" t="s">
        <v>409</v>
      </c>
      <c r="P1540" s="338" t="s">
        <v>417</v>
      </c>
    </row>
    <row r="1541" spans="2:16" x14ac:dyDescent="0.25">
      <c r="B1541" s="336" t="s">
        <v>459</v>
      </c>
      <c r="C1541" s="337">
        <v>40689</v>
      </c>
      <c r="D1541" s="338" t="s">
        <v>6252</v>
      </c>
      <c r="E1541" s="338" t="s">
        <v>6251</v>
      </c>
      <c r="F1541" s="338"/>
      <c r="G1541" s="338">
        <v>16</v>
      </c>
      <c r="H1541" s="338" t="s">
        <v>425</v>
      </c>
      <c r="I1541" s="338" t="s">
        <v>411</v>
      </c>
      <c r="J1541" s="339"/>
      <c r="K1541" s="339"/>
      <c r="L1541" s="339" t="s">
        <v>409</v>
      </c>
      <c r="M1541" s="339" t="s">
        <v>409</v>
      </c>
      <c r="N1541" s="338" t="s">
        <v>432</v>
      </c>
      <c r="O1541" s="338" t="s">
        <v>409</v>
      </c>
      <c r="P1541" s="338"/>
    </row>
    <row r="1542" spans="2:16" x14ac:dyDescent="0.25">
      <c r="B1542" s="336" t="s">
        <v>416</v>
      </c>
      <c r="C1542" s="337">
        <v>40688</v>
      </c>
      <c r="D1542" s="338" t="s">
        <v>1138</v>
      </c>
      <c r="E1542" s="338" t="s">
        <v>1733</v>
      </c>
      <c r="F1542" s="338"/>
      <c r="G1542" s="338">
        <v>449.41</v>
      </c>
      <c r="H1542" s="338" t="s">
        <v>425</v>
      </c>
      <c r="I1542" s="338" t="s">
        <v>411</v>
      </c>
      <c r="J1542" s="339">
        <v>0.60841599999999996</v>
      </c>
      <c r="K1542" s="339">
        <v>6.7203499999999998</v>
      </c>
      <c r="L1542" s="339" t="s">
        <v>409</v>
      </c>
      <c r="M1542" s="339" t="s">
        <v>409</v>
      </c>
      <c r="N1542" s="338" t="s">
        <v>417</v>
      </c>
      <c r="O1542" s="338" t="s">
        <v>409</v>
      </c>
      <c r="P1542" s="338" t="s">
        <v>443</v>
      </c>
    </row>
    <row r="1543" spans="2:16" x14ac:dyDescent="0.25">
      <c r="B1543" s="336" t="s">
        <v>416</v>
      </c>
      <c r="C1543" s="337">
        <v>40687</v>
      </c>
      <c r="D1543" s="338" t="s">
        <v>956</v>
      </c>
      <c r="E1543" s="338" t="s">
        <v>6250</v>
      </c>
      <c r="F1543" s="338" t="s">
        <v>6233</v>
      </c>
      <c r="G1543" s="338" t="s">
        <v>413</v>
      </c>
      <c r="H1543" s="338" t="s">
        <v>425</v>
      </c>
      <c r="I1543" s="338" t="s">
        <v>411</v>
      </c>
      <c r="J1543" s="339"/>
      <c r="K1543" s="339"/>
      <c r="L1543" s="339"/>
      <c r="M1543" s="339"/>
      <c r="N1543" s="338"/>
      <c r="O1543" s="338" t="s">
        <v>417</v>
      </c>
      <c r="P1543" s="338" t="s">
        <v>487</v>
      </c>
    </row>
    <row r="1544" spans="2:16" x14ac:dyDescent="0.25">
      <c r="B1544" s="336" t="s">
        <v>459</v>
      </c>
      <c r="C1544" s="337">
        <v>40686</v>
      </c>
      <c r="D1544" s="338" t="s">
        <v>5450</v>
      </c>
      <c r="E1544" s="338" t="s">
        <v>6249</v>
      </c>
      <c r="F1544" s="338"/>
      <c r="G1544" s="338">
        <v>15</v>
      </c>
      <c r="H1544" s="338" t="s">
        <v>425</v>
      </c>
      <c r="I1544" s="338" t="s">
        <v>411</v>
      </c>
      <c r="J1544" s="339"/>
      <c r="K1544" s="339"/>
      <c r="L1544" s="339" t="s">
        <v>409</v>
      </c>
      <c r="M1544" s="339" t="s">
        <v>409</v>
      </c>
      <c r="N1544" s="338" t="s">
        <v>417</v>
      </c>
      <c r="O1544" s="338" t="s">
        <v>409</v>
      </c>
      <c r="P1544" s="338" t="s">
        <v>443</v>
      </c>
    </row>
    <row r="1545" spans="2:16" x14ac:dyDescent="0.25">
      <c r="B1545" s="336" t="s">
        <v>541</v>
      </c>
      <c r="C1545" s="337">
        <v>40686</v>
      </c>
      <c r="D1545" s="338" t="s">
        <v>6248</v>
      </c>
      <c r="E1545" s="338" t="s">
        <v>539</v>
      </c>
      <c r="F1545" s="338" t="s">
        <v>4432</v>
      </c>
      <c r="G1545" s="338" t="s">
        <v>413</v>
      </c>
      <c r="H1545" s="338"/>
      <c r="I1545" s="338" t="s">
        <v>411</v>
      </c>
      <c r="J1545" s="339"/>
      <c r="K1545" s="339"/>
      <c r="L1545" s="339"/>
      <c r="M1545" s="339"/>
      <c r="N1545" s="338" t="s">
        <v>612</v>
      </c>
      <c r="O1545" s="338" t="s">
        <v>605</v>
      </c>
      <c r="P1545" s="338" t="s">
        <v>409</v>
      </c>
    </row>
    <row r="1546" spans="2:16" x14ac:dyDescent="0.25">
      <c r="B1546" s="336" t="s">
        <v>416</v>
      </c>
      <c r="C1546" s="337">
        <v>40686</v>
      </c>
      <c r="D1546" s="338" t="s">
        <v>6247</v>
      </c>
      <c r="E1546" s="338" t="s">
        <v>1141</v>
      </c>
      <c r="F1546" s="338"/>
      <c r="G1546" s="338">
        <v>1.25</v>
      </c>
      <c r="H1546" s="338" t="s">
        <v>780</v>
      </c>
      <c r="I1546" s="338" t="s">
        <v>411</v>
      </c>
      <c r="J1546" s="339"/>
      <c r="K1546" s="339"/>
      <c r="L1546" s="339" t="s">
        <v>409</v>
      </c>
      <c r="M1546" s="339" t="s">
        <v>409</v>
      </c>
      <c r="N1546" s="338"/>
      <c r="O1546" s="338" t="s">
        <v>409</v>
      </c>
      <c r="P1546" s="338" t="s">
        <v>417</v>
      </c>
    </row>
    <row r="1547" spans="2:16" x14ac:dyDescent="0.25">
      <c r="B1547" s="336" t="s">
        <v>416</v>
      </c>
      <c r="C1547" s="337">
        <v>40686</v>
      </c>
      <c r="D1547" s="338" t="s">
        <v>6246</v>
      </c>
      <c r="E1547" s="338" t="s">
        <v>6245</v>
      </c>
      <c r="F1547" s="338"/>
      <c r="G1547" s="338" t="s">
        <v>413</v>
      </c>
      <c r="H1547" s="338" t="s">
        <v>412</v>
      </c>
      <c r="I1547" s="338" t="s">
        <v>411</v>
      </c>
      <c r="J1547" s="339"/>
      <c r="K1547" s="339"/>
      <c r="L1547" s="339" t="s">
        <v>409</v>
      </c>
      <c r="M1547" s="339" t="s">
        <v>409</v>
      </c>
      <c r="N1547" s="338" t="s">
        <v>487</v>
      </c>
      <c r="O1547" s="338" t="s">
        <v>409</v>
      </c>
      <c r="P1547" s="338" t="s">
        <v>487</v>
      </c>
    </row>
    <row r="1548" spans="2:16" x14ac:dyDescent="0.25">
      <c r="B1548" s="336" t="s">
        <v>416</v>
      </c>
      <c r="C1548" s="337">
        <v>40683</v>
      </c>
      <c r="D1548" s="338" t="s">
        <v>6244</v>
      </c>
      <c r="E1548" s="338" t="s">
        <v>4460</v>
      </c>
      <c r="F1548" s="338" t="s">
        <v>6243</v>
      </c>
      <c r="G1548" s="338">
        <v>16</v>
      </c>
      <c r="H1548" s="338" t="s">
        <v>425</v>
      </c>
      <c r="I1548" s="338" t="s">
        <v>1243</v>
      </c>
      <c r="J1548" s="339"/>
      <c r="K1548" s="339"/>
      <c r="L1548" s="339"/>
      <c r="M1548" s="339"/>
      <c r="N1548" s="338"/>
      <c r="O1548" s="338" t="s">
        <v>417</v>
      </c>
      <c r="P1548" s="338" t="s">
        <v>417</v>
      </c>
    </row>
    <row r="1549" spans="2:16" x14ac:dyDescent="0.25">
      <c r="B1549" s="336" t="s">
        <v>416</v>
      </c>
      <c r="C1549" s="337">
        <v>40683</v>
      </c>
      <c r="D1549" s="338" t="s">
        <v>6242</v>
      </c>
      <c r="E1549" s="338" t="s">
        <v>453</v>
      </c>
      <c r="F1549" s="338" t="s">
        <v>480</v>
      </c>
      <c r="G1549" s="338" t="s">
        <v>413</v>
      </c>
      <c r="H1549" s="338" t="s">
        <v>418</v>
      </c>
      <c r="I1549" s="338" t="s">
        <v>411</v>
      </c>
      <c r="J1549" s="339">
        <v>0.58820499999999998</v>
      </c>
      <c r="K1549" s="339">
        <v>5.9101400000000002</v>
      </c>
      <c r="L1549" s="339"/>
      <c r="M1549" s="339"/>
      <c r="N1549" s="338" t="s">
        <v>417</v>
      </c>
      <c r="O1549" s="338" t="s">
        <v>443</v>
      </c>
      <c r="P1549" s="338" t="s">
        <v>443</v>
      </c>
    </row>
    <row r="1550" spans="2:16" x14ac:dyDescent="0.25">
      <c r="B1550" s="336" t="s">
        <v>459</v>
      </c>
      <c r="C1550" s="337">
        <v>40682</v>
      </c>
      <c r="D1550" s="338" t="s">
        <v>6241</v>
      </c>
      <c r="E1550" s="338" t="s">
        <v>6240</v>
      </c>
      <c r="F1550" s="338"/>
      <c r="G1550" s="338">
        <v>6</v>
      </c>
      <c r="H1550" s="338" t="s">
        <v>425</v>
      </c>
      <c r="I1550" s="338" t="s">
        <v>411</v>
      </c>
      <c r="J1550" s="339"/>
      <c r="K1550" s="339"/>
      <c r="L1550" s="339" t="s">
        <v>409</v>
      </c>
      <c r="M1550" s="339" t="s">
        <v>409</v>
      </c>
      <c r="N1550" s="338" t="s">
        <v>417</v>
      </c>
      <c r="O1550" s="338" t="s">
        <v>409</v>
      </c>
      <c r="P1550" s="338"/>
    </row>
    <row r="1551" spans="2:16" x14ac:dyDescent="0.25">
      <c r="B1551" s="336" t="s">
        <v>416</v>
      </c>
      <c r="C1551" s="337">
        <v>40682</v>
      </c>
      <c r="D1551" s="338" t="s">
        <v>6239</v>
      </c>
      <c r="E1551" s="338" t="s">
        <v>6238</v>
      </c>
      <c r="F1551" s="338"/>
      <c r="G1551" s="338">
        <v>40</v>
      </c>
      <c r="H1551" s="338" t="s">
        <v>425</v>
      </c>
      <c r="I1551" s="338" t="s">
        <v>411</v>
      </c>
      <c r="J1551" s="339"/>
      <c r="K1551" s="339"/>
      <c r="L1551" s="339" t="s">
        <v>409</v>
      </c>
      <c r="M1551" s="339" t="s">
        <v>409</v>
      </c>
      <c r="N1551" s="338" t="s">
        <v>605</v>
      </c>
      <c r="O1551" s="338" t="s">
        <v>409</v>
      </c>
      <c r="P1551" s="338" t="s">
        <v>605</v>
      </c>
    </row>
    <row r="1552" spans="2:16" x14ac:dyDescent="0.25">
      <c r="B1552" s="336" t="s">
        <v>416</v>
      </c>
      <c r="C1552" s="337">
        <v>40682</v>
      </c>
      <c r="D1552" s="338" t="s">
        <v>6237</v>
      </c>
      <c r="E1552" s="338" t="s">
        <v>6236</v>
      </c>
      <c r="F1552" s="338" t="s">
        <v>6235</v>
      </c>
      <c r="G1552" s="338" t="s">
        <v>413</v>
      </c>
      <c r="H1552" s="338" t="s">
        <v>425</v>
      </c>
      <c r="I1552" s="338" t="s">
        <v>411</v>
      </c>
      <c r="J1552" s="339"/>
      <c r="K1552" s="339"/>
      <c r="L1552" s="339"/>
      <c r="M1552" s="339"/>
      <c r="N1552" s="338"/>
      <c r="O1552" s="338" t="s">
        <v>410</v>
      </c>
      <c r="P1552" s="338" t="s">
        <v>410</v>
      </c>
    </row>
    <row r="1553" spans="2:16" x14ac:dyDescent="0.25">
      <c r="B1553" s="336" t="s">
        <v>416</v>
      </c>
      <c r="C1553" s="337">
        <v>40681</v>
      </c>
      <c r="D1553" s="338" t="s">
        <v>6234</v>
      </c>
      <c r="E1553" s="338" t="s">
        <v>1819</v>
      </c>
      <c r="F1553" s="338" t="s">
        <v>573</v>
      </c>
      <c r="G1553" s="338" t="s">
        <v>413</v>
      </c>
      <c r="H1553" s="338" t="s">
        <v>412</v>
      </c>
      <c r="I1553" s="338" t="s">
        <v>411</v>
      </c>
      <c r="J1553" s="339"/>
      <c r="K1553" s="339"/>
      <c r="L1553" s="339">
        <v>3.0509499999999998</v>
      </c>
      <c r="M1553" s="339">
        <v>11.4476</v>
      </c>
      <c r="N1553" s="338" t="s">
        <v>432</v>
      </c>
      <c r="O1553" s="338" t="s">
        <v>432</v>
      </c>
      <c r="P1553" s="338" t="s">
        <v>417</v>
      </c>
    </row>
    <row r="1554" spans="2:16" x14ac:dyDescent="0.25">
      <c r="B1554" s="336" t="s">
        <v>416</v>
      </c>
      <c r="C1554" s="337">
        <v>40681</v>
      </c>
      <c r="D1554" s="338" t="s">
        <v>6233</v>
      </c>
      <c r="E1554" s="338" t="s">
        <v>6232</v>
      </c>
      <c r="F1554" s="338"/>
      <c r="G1554" s="338" t="s">
        <v>413</v>
      </c>
      <c r="H1554" s="338" t="s">
        <v>412</v>
      </c>
      <c r="I1554" s="338" t="s">
        <v>411</v>
      </c>
      <c r="J1554" s="339"/>
      <c r="K1554" s="339"/>
      <c r="L1554" s="339" t="s">
        <v>409</v>
      </c>
      <c r="M1554" s="339" t="s">
        <v>409</v>
      </c>
      <c r="N1554" s="338" t="s">
        <v>417</v>
      </c>
      <c r="O1554" s="338" t="s">
        <v>409</v>
      </c>
      <c r="P1554" s="338" t="s">
        <v>487</v>
      </c>
    </row>
    <row r="1555" spans="2:16" x14ac:dyDescent="0.25">
      <c r="B1555" s="336" t="s">
        <v>416</v>
      </c>
      <c r="C1555" s="337">
        <v>40681</v>
      </c>
      <c r="D1555" s="338" t="s">
        <v>6231</v>
      </c>
      <c r="E1555" s="338" t="s">
        <v>1155</v>
      </c>
      <c r="F1555" s="338" t="s">
        <v>6230</v>
      </c>
      <c r="G1555" s="338" t="s">
        <v>413</v>
      </c>
      <c r="H1555" s="338" t="s">
        <v>425</v>
      </c>
      <c r="I1555" s="338" t="s">
        <v>411</v>
      </c>
      <c r="J1555" s="339"/>
      <c r="K1555" s="339"/>
      <c r="L1555" s="339"/>
      <c r="M1555" s="339"/>
      <c r="N1555" s="338"/>
      <c r="O1555" s="338" t="s">
        <v>410</v>
      </c>
      <c r="P1555" s="338" t="s">
        <v>410</v>
      </c>
    </row>
    <row r="1556" spans="2:16" x14ac:dyDescent="0.25">
      <c r="B1556" s="336" t="s">
        <v>416</v>
      </c>
      <c r="C1556" s="337">
        <v>40681</v>
      </c>
      <c r="D1556" s="338" t="s">
        <v>3488</v>
      </c>
      <c r="E1556" s="338" t="s">
        <v>6229</v>
      </c>
      <c r="F1556" s="338" t="s">
        <v>6228</v>
      </c>
      <c r="G1556" s="338">
        <v>15.5</v>
      </c>
      <c r="H1556" s="338" t="s">
        <v>425</v>
      </c>
      <c r="I1556" s="338" t="s">
        <v>411</v>
      </c>
      <c r="J1556" s="339"/>
      <c r="K1556" s="339"/>
      <c r="L1556" s="339"/>
      <c r="M1556" s="339"/>
      <c r="N1556" s="338"/>
      <c r="O1556" s="338" t="s">
        <v>417</v>
      </c>
      <c r="P1556" s="338" t="s">
        <v>443</v>
      </c>
    </row>
    <row r="1557" spans="2:16" x14ac:dyDescent="0.25">
      <c r="B1557" s="336" t="s">
        <v>416</v>
      </c>
      <c r="C1557" s="337">
        <v>40681</v>
      </c>
      <c r="D1557" s="338" t="s">
        <v>6227</v>
      </c>
      <c r="E1557" s="338" t="s">
        <v>6226</v>
      </c>
      <c r="F1557" s="338"/>
      <c r="G1557" s="338" t="s">
        <v>413</v>
      </c>
      <c r="H1557" s="338" t="s">
        <v>412</v>
      </c>
      <c r="I1557" s="338" t="s">
        <v>411</v>
      </c>
      <c r="J1557" s="339"/>
      <c r="K1557" s="339"/>
      <c r="L1557" s="339" t="s">
        <v>409</v>
      </c>
      <c r="M1557" s="339" t="s">
        <v>409</v>
      </c>
      <c r="N1557" s="338" t="s">
        <v>417</v>
      </c>
      <c r="O1557" s="338" t="s">
        <v>409</v>
      </c>
      <c r="P1557" s="338" t="s">
        <v>417</v>
      </c>
    </row>
    <row r="1558" spans="2:16" x14ac:dyDescent="0.25">
      <c r="B1558" s="336" t="s">
        <v>416</v>
      </c>
      <c r="C1558" s="337">
        <v>40680</v>
      </c>
      <c r="D1558" s="338" t="s">
        <v>1170</v>
      </c>
      <c r="E1558" s="338" t="s">
        <v>6225</v>
      </c>
      <c r="F1558" s="338" t="s">
        <v>1022</v>
      </c>
      <c r="G1558" s="338" t="s">
        <v>413</v>
      </c>
      <c r="H1558" s="338" t="s">
        <v>412</v>
      </c>
      <c r="I1558" s="338" t="s">
        <v>411</v>
      </c>
      <c r="J1558" s="339"/>
      <c r="K1558" s="339"/>
      <c r="L1558" s="339">
        <v>1.57805</v>
      </c>
      <c r="M1558" s="339">
        <v>17.749500000000001</v>
      </c>
      <c r="N1558" s="338" t="s">
        <v>417</v>
      </c>
      <c r="O1558" s="338" t="s">
        <v>417</v>
      </c>
      <c r="P1558" s="338" t="s">
        <v>410</v>
      </c>
    </row>
    <row r="1559" spans="2:16" x14ac:dyDescent="0.25">
      <c r="B1559" s="336" t="s">
        <v>459</v>
      </c>
      <c r="C1559" s="337">
        <v>40680</v>
      </c>
      <c r="D1559" s="338" t="s">
        <v>6224</v>
      </c>
      <c r="E1559" s="338" t="s">
        <v>4408</v>
      </c>
      <c r="F1559" s="338"/>
      <c r="G1559" s="338" t="s">
        <v>413</v>
      </c>
      <c r="H1559" s="338" t="s">
        <v>412</v>
      </c>
      <c r="I1559" s="338" t="s">
        <v>411</v>
      </c>
      <c r="J1559" s="339"/>
      <c r="K1559" s="339"/>
      <c r="L1559" s="339" t="s">
        <v>409</v>
      </c>
      <c r="M1559" s="339" t="s">
        <v>409</v>
      </c>
      <c r="N1559" s="338" t="s">
        <v>408</v>
      </c>
      <c r="O1559" s="338" t="s">
        <v>409</v>
      </c>
      <c r="P1559" s="338" t="s">
        <v>417</v>
      </c>
    </row>
    <row r="1560" spans="2:16" x14ac:dyDescent="0.25">
      <c r="B1560" s="336" t="s">
        <v>416</v>
      </c>
      <c r="C1560" s="337">
        <v>40680</v>
      </c>
      <c r="D1560" s="338" t="s">
        <v>6223</v>
      </c>
      <c r="E1560" s="338" t="s">
        <v>3228</v>
      </c>
      <c r="F1560" s="338"/>
      <c r="G1560" s="338" t="s">
        <v>413</v>
      </c>
      <c r="H1560" s="338" t="s">
        <v>425</v>
      </c>
      <c r="I1560" s="338" t="s">
        <v>411</v>
      </c>
      <c r="J1560" s="339"/>
      <c r="K1560" s="339"/>
      <c r="L1560" s="339" t="s">
        <v>409</v>
      </c>
      <c r="M1560" s="339" t="s">
        <v>409</v>
      </c>
      <c r="N1560" s="338"/>
      <c r="O1560" s="338" t="s">
        <v>409</v>
      </c>
      <c r="P1560" s="338" t="s">
        <v>417</v>
      </c>
    </row>
    <row r="1561" spans="2:16" x14ac:dyDescent="0.25">
      <c r="B1561" s="336" t="s">
        <v>416</v>
      </c>
      <c r="C1561" s="337">
        <v>40679</v>
      </c>
      <c r="D1561" s="338" t="s">
        <v>6222</v>
      </c>
      <c r="E1561" s="338" t="s">
        <v>6221</v>
      </c>
      <c r="F1561" s="338"/>
      <c r="G1561" s="338" t="s">
        <v>413</v>
      </c>
      <c r="H1561" s="338" t="s">
        <v>425</v>
      </c>
      <c r="I1561" s="338" t="s">
        <v>411</v>
      </c>
      <c r="J1561" s="339"/>
      <c r="K1561" s="339"/>
      <c r="L1561" s="339" t="s">
        <v>409</v>
      </c>
      <c r="M1561" s="339" t="s">
        <v>409</v>
      </c>
      <c r="N1561" s="338" t="s">
        <v>417</v>
      </c>
      <c r="O1561" s="338" t="s">
        <v>409</v>
      </c>
      <c r="P1561" s="338"/>
    </row>
    <row r="1562" spans="2:16" x14ac:dyDescent="0.25">
      <c r="B1562" s="336" t="s">
        <v>416</v>
      </c>
      <c r="C1562" s="337">
        <v>40675</v>
      </c>
      <c r="D1562" s="338" t="s">
        <v>6220</v>
      </c>
      <c r="E1562" s="338" t="s">
        <v>6219</v>
      </c>
      <c r="F1562" s="338" t="s">
        <v>6218</v>
      </c>
      <c r="G1562" s="338" t="s">
        <v>413</v>
      </c>
      <c r="H1562" s="338" t="s">
        <v>425</v>
      </c>
      <c r="I1562" s="338" t="s">
        <v>411</v>
      </c>
      <c r="J1562" s="339"/>
      <c r="K1562" s="339"/>
      <c r="L1562" s="339"/>
      <c r="M1562" s="339"/>
      <c r="N1562" s="338"/>
      <c r="O1562" s="338" t="s">
        <v>417</v>
      </c>
      <c r="P1562" s="338" t="s">
        <v>417</v>
      </c>
    </row>
    <row r="1563" spans="2:16" x14ac:dyDescent="0.25">
      <c r="B1563" s="336" t="s">
        <v>1441</v>
      </c>
      <c r="C1563" s="337">
        <v>40675</v>
      </c>
      <c r="D1563" s="338" t="s">
        <v>6217</v>
      </c>
      <c r="E1563" s="338" t="s">
        <v>6216</v>
      </c>
      <c r="F1563" s="338"/>
      <c r="G1563" s="338" t="s">
        <v>413</v>
      </c>
      <c r="H1563" s="338" t="s">
        <v>412</v>
      </c>
      <c r="I1563" s="338" t="s">
        <v>1243</v>
      </c>
      <c r="J1563" s="339"/>
      <c r="K1563" s="339"/>
      <c r="L1563" s="339" t="s">
        <v>409</v>
      </c>
      <c r="M1563" s="339" t="s">
        <v>409</v>
      </c>
      <c r="N1563" s="338" t="s">
        <v>417</v>
      </c>
      <c r="O1563" s="338" t="s">
        <v>409</v>
      </c>
      <c r="P1563" s="338" t="s">
        <v>443</v>
      </c>
    </row>
    <row r="1564" spans="2:16" x14ac:dyDescent="0.25">
      <c r="B1564" s="336" t="s">
        <v>459</v>
      </c>
      <c r="C1564" s="337">
        <v>40675</v>
      </c>
      <c r="D1564" s="338" t="s">
        <v>2267</v>
      </c>
      <c r="E1564" s="338" t="s">
        <v>6215</v>
      </c>
      <c r="F1564" s="338"/>
      <c r="G1564" s="338" t="s">
        <v>413</v>
      </c>
      <c r="H1564" s="338" t="s">
        <v>425</v>
      </c>
      <c r="I1564" s="338" t="s">
        <v>411</v>
      </c>
      <c r="J1564" s="339"/>
      <c r="K1564" s="339"/>
      <c r="L1564" s="339" t="s">
        <v>409</v>
      </c>
      <c r="M1564" s="339" t="s">
        <v>409</v>
      </c>
      <c r="N1564" s="338" t="s">
        <v>417</v>
      </c>
      <c r="O1564" s="338" t="s">
        <v>409</v>
      </c>
      <c r="P1564" s="338" t="s">
        <v>443</v>
      </c>
    </row>
    <row r="1565" spans="2:16" x14ac:dyDescent="0.25">
      <c r="B1565" s="336" t="s">
        <v>459</v>
      </c>
      <c r="C1565" s="337">
        <v>40673</v>
      </c>
      <c r="D1565" s="338" t="s">
        <v>808</v>
      </c>
      <c r="E1565" s="338" t="s">
        <v>6214</v>
      </c>
      <c r="F1565" s="338"/>
      <c r="G1565" s="338" t="s">
        <v>413</v>
      </c>
      <c r="H1565" s="338" t="s">
        <v>425</v>
      </c>
      <c r="I1565" s="338" t="s">
        <v>411</v>
      </c>
      <c r="J1565" s="339"/>
      <c r="K1565" s="339"/>
      <c r="L1565" s="339" t="s">
        <v>409</v>
      </c>
      <c r="M1565" s="339" t="s">
        <v>409</v>
      </c>
      <c r="N1565" s="338" t="s">
        <v>417</v>
      </c>
      <c r="O1565" s="338" t="s">
        <v>409</v>
      </c>
      <c r="P1565" s="338"/>
    </row>
    <row r="1566" spans="2:16" x14ac:dyDescent="0.25">
      <c r="B1566" s="336" t="s">
        <v>416</v>
      </c>
      <c r="C1566" s="337">
        <v>40672</v>
      </c>
      <c r="D1566" s="338" t="s">
        <v>6213</v>
      </c>
      <c r="E1566" s="338" t="s">
        <v>5377</v>
      </c>
      <c r="F1566" s="338"/>
      <c r="G1566" s="338">
        <v>5.52</v>
      </c>
      <c r="H1566" s="338" t="s">
        <v>336</v>
      </c>
      <c r="I1566" s="338" t="s">
        <v>411</v>
      </c>
      <c r="J1566" s="339"/>
      <c r="K1566" s="339"/>
      <c r="L1566" s="339" t="s">
        <v>409</v>
      </c>
      <c r="M1566" s="339" t="s">
        <v>409</v>
      </c>
      <c r="N1566" s="338" t="s">
        <v>417</v>
      </c>
      <c r="O1566" s="338" t="s">
        <v>409</v>
      </c>
      <c r="P1566" s="338" t="s">
        <v>417</v>
      </c>
    </row>
    <row r="1567" spans="2:16" x14ac:dyDescent="0.25">
      <c r="B1567" s="336" t="s">
        <v>459</v>
      </c>
      <c r="C1567" s="337">
        <v>40672</v>
      </c>
      <c r="D1567" s="338" t="s">
        <v>5103</v>
      </c>
      <c r="E1567" s="338" t="s">
        <v>6212</v>
      </c>
      <c r="F1567" s="338"/>
      <c r="G1567" s="338">
        <v>75.5</v>
      </c>
      <c r="H1567" s="338" t="s">
        <v>425</v>
      </c>
      <c r="I1567" s="338" t="s">
        <v>411</v>
      </c>
      <c r="J1567" s="339"/>
      <c r="K1567" s="339"/>
      <c r="L1567" s="339" t="s">
        <v>409</v>
      </c>
      <c r="M1567" s="339" t="s">
        <v>409</v>
      </c>
      <c r="N1567" s="338" t="s">
        <v>417</v>
      </c>
      <c r="O1567" s="338" t="s">
        <v>409</v>
      </c>
      <c r="P1567" s="338"/>
    </row>
    <row r="1568" spans="2:16" x14ac:dyDescent="0.25">
      <c r="B1568" s="336" t="s">
        <v>416</v>
      </c>
      <c r="C1568" s="337">
        <v>40672</v>
      </c>
      <c r="D1568" s="338" t="s">
        <v>692</v>
      </c>
      <c r="E1568" s="338" t="s">
        <v>6211</v>
      </c>
      <c r="F1568" s="338" t="s">
        <v>6210</v>
      </c>
      <c r="G1568" s="338">
        <v>20</v>
      </c>
      <c r="H1568" s="338" t="s">
        <v>425</v>
      </c>
      <c r="I1568" s="338" t="s">
        <v>411</v>
      </c>
      <c r="J1568" s="339"/>
      <c r="K1568" s="339"/>
      <c r="L1568" s="339"/>
      <c r="M1568" s="339"/>
      <c r="N1568" s="338"/>
      <c r="O1568" s="338" t="s">
        <v>410</v>
      </c>
      <c r="P1568" s="338" t="s">
        <v>417</v>
      </c>
    </row>
    <row r="1569" spans="2:16" x14ac:dyDescent="0.25">
      <c r="B1569" s="336" t="s">
        <v>416</v>
      </c>
      <c r="C1569" s="337">
        <v>40672</v>
      </c>
      <c r="D1569" s="338" t="s">
        <v>6209</v>
      </c>
      <c r="E1569" s="338" t="s">
        <v>6208</v>
      </c>
      <c r="F1569" s="338" t="s">
        <v>6207</v>
      </c>
      <c r="G1569" s="338" t="s">
        <v>413</v>
      </c>
      <c r="H1569" s="338" t="s">
        <v>425</v>
      </c>
      <c r="I1569" s="338" t="s">
        <v>411</v>
      </c>
      <c r="J1569" s="339"/>
      <c r="K1569" s="339"/>
      <c r="L1569" s="339"/>
      <c r="M1569" s="339"/>
      <c r="N1569" s="338" t="s">
        <v>417</v>
      </c>
      <c r="O1569" s="338" t="s">
        <v>443</v>
      </c>
      <c r="P1569" s="338"/>
    </row>
    <row r="1570" spans="2:16" x14ac:dyDescent="0.25">
      <c r="B1570" s="336" t="s">
        <v>459</v>
      </c>
      <c r="C1570" s="337">
        <v>40672</v>
      </c>
      <c r="D1570" s="338" t="s">
        <v>5103</v>
      </c>
      <c r="E1570" s="338" t="s">
        <v>6206</v>
      </c>
      <c r="F1570" s="338"/>
      <c r="G1570" s="338">
        <v>62.5</v>
      </c>
      <c r="H1570" s="338" t="s">
        <v>425</v>
      </c>
      <c r="I1570" s="338" t="s">
        <v>411</v>
      </c>
      <c r="J1570" s="339"/>
      <c r="K1570" s="339"/>
      <c r="L1570" s="339" t="s">
        <v>409</v>
      </c>
      <c r="M1570" s="339" t="s">
        <v>409</v>
      </c>
      <c r="N1570" s="338" t="s">
        <v>417</v>
      </c>
      <c r="O1570" s="338" t="s">
        <v>409</v>
      </c>
      <c r="P1570" s="338" t="s">
        <v>432</v>
      </c>
    </row>
    <row r="1571" spans="2:16" x14ac:dyDescent="0.25">
      <c r="B1571" s="336" t="s">
        <v>416</v>
      </c>
      <c r="C1571" s="337">
        <v>40669</v>
      </c>
      <c r="D1571" s="338" t="s">
        <v>6205</v>
      </c>
      <c r="E1571" s="338" t="s">
        <v>3843</v>
      </c>
      <c r="F1571" s="338" t="s">
        <v>468</v>
      </c>
      <c r="G1571" s="338" t="s">
        <v>413</v>
      </c>
      <c r="H1571" s="338" t="s">
        <v>412</v>
      </c>
      <c r="I1571" s="338" t="s">
        <v>411</v>
      </c>
      <c r="J1571" s="339"/>
      <c r="K1571" s="339"/>
      <c r="L1571" s="339"/>
      <c r="M1571" s="339"/>
      <c r="N1571" s="338" t="s">
        <v>417</v>
      </c>
      <c r="O1571" s="338" t="s">
        <v>443</v>
      </c>
      <c r="P1571" s="338" t="s">
        <v>417</v>
      </c>
    </row>
    <row r="1572" spans="2:16" x14ac:dyDescent="0.25">
      <c r="B1572" s="336" t="s">
        <v>416</v>
      </c>
      <c r="C1572" s="337">
        <v>40669</v>
      </c>
      <c r="D1572" s="338" t="s">
        <v>1107</v>
      </c>
      <c r="E1572" s="338" t="s">
        <v>6204</v>
      </c>
      <c r="F1572" s="338"/>
      <c r="G1572" s="338">
        <v>2962.72</v>
      </c>
      <c r="H1572" s="338" t="s">
        <v>425</v>
      </c>
      <c r="I1572" s="338" t="s">
        <v>411</v>
      </c>
      <c r="J1572" s="339"/>
      <c r="K1572" s="339"/>
      <c r="L1572" s="339" t="s">
        <v>409</v>
      </c>
      <c r="M1572" s="339" t="s">
        <v>409</v>
      </c>
      <c r="N1572" s="338" t="s">
        <v>417</v>
      </c>
      <c r="O1572" s="338" t="s">
        <v>409</v>
      </c>
      <c r="P1572" s="338" t="s">
        <v>443</v>
      </c>
    </row>
    <row r="1573" spans="2:16" x14ac:dyDescent="0.25">
      <c r="B1573" s="336" t="s">
        <v>416</v>
      </c>
      <c r="C1573" s="337">
        <v>40668</v>
      </c>
      <c r="D1573" s="338" t="s">
        <v>6203</v>
      </c>
      <c r="E1573" s="338" t="s">
        <v>3228</v>
      </c>
      <c r="F1573" s="338" t="s">
        <v>6202</v>
      </c>
      <c r="G1573" s="338" t="s">
        <v>413</v>
      </c>
      <c r="H1573" s="338" t="s">
        <v>425</v>
      </c>
      <c r="I1573" s="338" t="s">
        <v>411</v>
      </c>
      <c r="J1573" s="339"/>
      <c r="K1573" s="339"/>
      <c r="L1573" s="339"/>
      <c r="M1573" s="339"/>
      <c r="N1573" s="338"/>
      <c r="O1573" s="338" t="s">
        <v>417</v>
      </c>
      <c r="P1573" s="338" t="s">
        <v>417</v>
      </c>
    </row>
    <row r="1574" spans="2:16" x14ac:dyDescent="0.25">
      <c r="B1574" s="336" t="s">
        <v>416</v>
      </c>
      <c r="C1574" s="337">
        <v>40666</v>
      </c>
      <c r="D1574" s="338" t="s">
        <v>6201</v>
      </c>
      <c r="E1574" s="338" t="s">
        <v>6174</v>
      </c>
      <c r="F1574" s="338"/>
      <c r="G1574" s="338">
        <v>15.65</v>
      </c>
      <c r="H1574" s="338" t="s">
        <v>418</v>
      </c>
      <c r="I1574" s="338" t="s">
        <v>411</v>
      </c>
      <c r="J1574" s="339"/>
      <c r="K1574" s="339"/>
      <c r="L1574" s="339" t="s">
        <v>409</v>
      </c>
      <c r="M1574" s="339" t="s">
        <v>409</v>
      </c>
      <c r="N1574" s="338" t="s">
        <v>417</v>
      </c>
      <c r="O1574" s="338" t="s">
        <v>409</v>
      </c>
      <c r="P1574" s="338" t="s">
        <v>417</v>
      </c>
    </row>
    <row r="1575" spans="2:16" x14ac:dyDescent="0.25">
      <c r="B1575" s="336" t="s">
        <v>416</v>
      </c>
      <c r="C1575" s="337">
        <v>40666</v>
      </c>
      <c r="D1575" s="338" t="s">
        <v>6200</v>
      </c>
      <c r="E1575" s="338" t="s">
        <v>716</v>
      </c>
      <c r="F1575" s="338"/>
      <c r="G1575" s="338" t="s">
        <v>413</v>
      </c>
      <c r="H1575" s="338" t="s">
        <v>425</v>
      </c>
      <c r="I1575" s="338" t="s">
        <v>411</v>
      </c>
      <c r="J1575" s="339"/>
      <c r="K1575" s="339"/>
      <c r="L1575" s="339" t="s">
        <v>409</v>
      </c>
      <c r="M1575" s="339" t="s">
        <v>409</v>
      </c>
      <c r="N1575" s="338" t="s">
        <v>410</v>
      </c>
      <c r="O1575" s="338" t="s">
        <v>409</v>
      </c>
      <c r="P1575" s="338" t="s">
        <v>443</v>
      </c>
    </row>
    <row r="1576" spans="2:16" x14ac:dyDescent="0.25">
      <c r="B1576" s="336" t="s">
        <v>416</v>
      </c>
      <c r="C1576" s="337">
        <v>40666</v>
      </c>
      <c r="D1576" s="338" t="s">
        <v>6199</v>
      </c>
      <c r="E1576" s="338" t="s">
        <v>6198</v>
      </c>
      <c r="F1576" s="338"/>
      <c r="G1576" s="338" t="s">
        <v>413</v>
      </c>
      <c r="H1576" s="338" t="s">
        <v>425</v>
      </c>
      <c r="I1576" s="338" t="s">
        <v>411</v>
      </c>
      <c r="J1576" s="339"/>
      <c r="K1576" s="339"/>
      <c r="L1576" s="339" t="s">
        <v>409</v>
      </c>
      <c r="M1576" s="339" t="s">
        <v>409</v>
      </c>
      <c r="N1576" s="338"/>
      <c r="O1576" s="338" t="s">
        <v>409</v>
      </c>
      <c r="P1576" s="338" t="s">
        <v>417</v>
      </c>
    </row>
    <row r="1577" spans="2:16" x14ac:dyDescent="0.25">
      <c r="B1577" s="336" t="s">
        <v>416</v>
      </c>
      <c r="C1577" s="337">
        <v>40665</v>
      </c>
      <c r="D1577" s="338" t="s">
        <v>6197</v>
      </c>
      <c r="E1577" s="338" t="s">
        <v>6196</v>
      </c>
      <c r="F1577" s="338" t="s">
        <v>1119</v>
      </c>
      <c r="G1577" s="338" t="s">
        <v>413</v>
      </c>
      <c r="H1577" s="338" t="s">
        <v>412</v>
      </c>
      <c r="I1577" s="338" t="s">
        <v>411</v>
      </c>
      <c r="J1577" s="339"/>
      <c r="K1577" s="339"/>
      <c r="L1577" s="339">
        <v>1.1210899999999999</v>
      </c>
      <c r="M1577" s="339">
        <v>6.5309600000000003</v>
      </c>
      <c r="N1577" s="338" t="s">
        <v>605</v>
      </c>
      <c r="O1577" s="338" t="s">
        <v>417</v>
      </c>
      <c r="P1577" s="338" t="s">
        <v>605</v>
      </c>
    </row>
    <row r="1578" spans="2:16" x14ac:dyDescent="0.25">
      <c r="B1578" s="336" t="s">
        <v>416</v>
      </c>
      <c r="C1578" s="337">
        <v>40665</v>
      </c>
      <c r="D1578" s="338" t="s">
        <v>4433</v>
      </c>
      <c r="E1578" s="338" t="s">
        <v>1143</v>
      </c>
      <c r="F1578" s="338"/>
      <c r="G1578" s="338">
        <v>511.92</v>
      </c>
      <c r="H1578" s="338" t="s">
        <v>425</v>
      </c>
      <c r="I1578" s="338" t="s">
        <v>411</v>
      </c>
      <c r="J1578" s="339">
        <v>1.08449</v>
      </c>
      <c r="K1578" s="339">
        <v>10.998799999999999</v>
      </c>
      <c r="L1578" s="339" t="s">
        <v>409</v>
      </c>
      <c r="M1578" s="339" t="s">
        <v>409</v>
      </c>
      <c r="N1578" s="338" t="s">
        <v>417</v>
      </c>
      <c r="O1578" s="338" t="s">
        <v>409</v>
      </c>
      <c r="P1578" s="338" t="s">
        <v>417</v>
      </c>
    </row>
    <row r="1579" spans="2:16" x14ac:dyDescent="0.25">
      <c r="B1579" s="336" t="s">
        <v>459</v>
      </c>
      <c r="C1579" s="337">
        <v>40665</v>
      </c>
      <c r="D1579" s="338" t="s">
        <v>4295</v>
      </c>
      <c r="E1579" s="338" t="s">
        <v>5247</v>
      </c>
      <c r="F1579" s="338"/>
      <c r="G1579" s="338">
        <v>20.64</v>
      </c>
      <c r="H1579" s="338" t="s">
        <v>425</v>
      </c>
      <c r="I1579" s="338" t="s">
        <v>411</v>
      </c>
      <c r="J1579" s="339">
        <v>0.95572900000000005</v>
      </c>
      <c r="K1579" s="339">
        <v>7.7199400000000002</v>
      </c>
      <c r="L1579" s="339" t="s">
        <v>409</v>
      </c>
      <c r="M1579" s="339" t="s">
        <v>409</v>
      </c>
      <c r="N1579" s="338" t="s">
        <v>417</v>
      </c>
      <c r="O1579" s="338" t="s">
        <v>409</v>
      </c>
      <c r="P1579" s="338" t="s">
        <v>417</v>
      </c>
    </row>
    <row r="1580" spans="2:16" x14ac:dyDescent="0.25">
      <c r="B1580" s="336" t="s">
        <v>416</v>
      </c>
      <c r="C1580" s="337">
        <v>40665</v>
      </c>
      <c r="D1580" s="338" t="s">
        <v>1346</v>
      </c>
      <c r="E1580" s="338" t="s">
        <v>4977</v>
      </c>
      <c r="F1580" s="338"/>
      <c r="G1580" s="338" t="s">
        <v>413</v>
      </c>
      <c r="H1580" s="338" t="s">
        <v>425</v>
      </c>
      <c r="I1580" s="338" t="s">
        <v>411</v>
      </c>
      <c r="J1580" s="339"/>
      <c r="K1580" s="339"/>
      <c r="L1580" s="339" t="s">
        <v>409</v>
      </c>
      <c r="M1580" s="339" t="s">
        <v>409</v>
      </c>
      <c r="N1580" s="338" t="s">
        <v>417</v>
      </c>
      <c r="O1580" s="338" t="s">
        <v>409</v>
      </c>
      <c r="P1580" s="338" t="s">
        <v>443</v>
      </c>
    </row>
    <row r="1581" spans="2:16" x14ac:dyDescent="0.25">
      <c r="B1581" s="336" t="s">
        <v>416</v>
      </c>
      <c r="C1581" s="337">
        <v>40662</v>
      </c>
      <c r="D1581" s="338" t="s">
        <v>6195</v>
      </c>
      <c r="E1581" s="338" t="s">
        <v>1415</v>
      </c>
      <c r="F1581" s="338" t="s">
        <v>6194</v>
      </c>
      <c r="G1581" s="338" t="s">
        <v>413</v>
      </c>
      <c r="H1581" s="338" t="s">
        <v>425</v>
      </c>
      <c r="I1581" s="338" t="s">
        <v>411</v>
      </c>
      <c r="J1581" s="339"/>
      <c r="K1581" s="339"/>
      <c r="L1581" s="339"/>
      <c r="M1581" s="339"/>
      <c r="N1581" s="338"/>
      <c r="O1581" s="338" t="s">
        <v>417</v>
      </c>
      <c r="P1581" s="338" t="s">
        <v>417</v>
      </c>
    </row>
    <row r="1582" spans="2:16" x14ac:dyDescent="0.25">
      <c r="B1582" s="336" t="s">
        <v>459</v>
      </c>
      <c r="C1582" s="337">
        <v>40662</v>
      </c>
      <c r="D1582" s="338" t="s">
        <v>1355</v>
      </c>
      <c r="E1582" s="338" t="s">
        <v>6193</v>
      </c>
      <c r="F1582" s="338"/>
      <c r="G1582" s="338">
        <v>45</v>
      </c>
      <c r="H1582" s="338" t="s">
        <v>425</v>
      </c>
      <c r="I1582" s="338" t="s">
        <v>411</v>
      </c>
      <c r="J1582" s="339"/>
      <c r="K1582" s="339"/>
      <c r="L1582" s="339" t="s">
        <v>409</v>
      </c>
      <c r="M1582" s="339" t="s">
        <v>409</v>
      </c>
      <c r="N1582" s="338" t="s">
        <v>417</v>
      </c>
      <c r="O1582" s="338" t="s">
        <v>409</v>
      </c>
      <c r="P1582" s="338" t="s">
        <v>443</v>
      </c>
    </row>
    <row r="1583" spans="2:16" x14ac:dyDescent="0.25">
      <c r="B1583" s="336" t="s">
        <v>416</v>
      </c>
      <c r="C1583" s="337">
        <v>40661</v>
      </c>
      <c r="D1583" s="338" t="s">
        <v>6192</v>
      </c>
      <c r="E1583" s="338" t="s">
        <v>6091</v>
      </c>
      <c r="F1583" s="338"/>
      <c r="G1583" s="338" t="s">
        <v>413</v>
      </c>
      <c r="H1583" s="338" t="s">
        <v>412</v>
      </c>
      <c r="I1583" s="338" t="s">
        <v>411</v>
      </c>
      <c r="J1583" s="339"/>
      <c r="K1583" s="339"/>
      <c r="L1583" s="339" t="s">
        <v>409</v>
      </c>
      <c r="M1583" s="339" t="s">
        <v>409</v>
      </c>
      <c r="N1583" s="338" t="s">
        <v>543</v>
      </c>
      <c r="O1583" s="338" t="s">
        <v>409</v>
      </c>
      <c r="P1583" s="338" t="s">
        <v>417</v>
      </c>
    </row>
    <row r="1584" spans="2:16" x14ac:dyDescent="0.25">
      <c r="B1584" s="336" t="s">
        <v>416</v>
      </c>
      <c r="C1584" s="337">
        <v>40661</v>
      </c>
      <c r="D1584" s="338" t="s">
        <v>6191</v>
      </c>
      <c r="E1584" s="338" t="s">
        <v>1619</v>
      </c>
      <c r="F1584" s="338" t="s">
        <v>6190</v>
      </c>
      <c r="G1584" s="338" t="s">
        <v>413</v>
      </c>
      <c r="H1584" s="338" t="s">
        <v>425</v>
      </c>
      <c r="I1584" s="338" t="s">
        <v>411</v>
      </c>
      <c r="J1584" s="339"/>
      <c r="K1584" s="339"/>
      <c r="L1584" s="339"/>
      <c r="M1584" s="339"/>
      <c r="N1584" s="338"/>
      <c r="O1584" s="338" t="s">
        <v>410</v>
      </c>
      <c r="P1584" s="338" t="s">
        <v>417</v>
      </c>
    </row>
    <row r="1585" spans="2:16" x14ac:dyDescent="0.25">
      <c r="B1585" s="336" t="s">
        <v>416</v>
      </c>
      <c r="C1585" s="337">
        <v>40660</v>
      </c>
      <c r="D1585" s="338" t="s">
        <v>6189</v>
      </c>
      <c r="E1585" s="338" t="s">
        <v>1530</v>
      </c>
      <c r="F1585" s="338" t="s">
        <v>480</v>
      </c>
      <c r="G1585" s="338" t="s">
        <v>413</v>
      </c>
      <c r="H1585" s="338" t="s">
        <v>412</v>
      </c>
      <c r="I1585" s="338" t="s">
        <v>411</v>
      </c>
      <c r="J1585" s="339"/>
      <c r="K1585" s="339"/>
      <c r="L1585" s="339"/>
      <c r="M1585" s="339"/>
      <c r="N1585" s="338" t="s">
        <v>417</v>
      </c>
      <c r="O1585" s="338" t="s">
        <v>443</v>
      </c>
      <c r="P1585" s="338" t="s">
        <v>410</v>
      </c>
    </row>
    <row r="1586" spans="2:16" x14ac:dyDescent="0.25">
      <c r="B1586" s="336" t="s">
        <v>416</v>
      </c>
      <c r="C1586" s="337">
        <v>40659</v>
      </c>
      <c r="D1586" s="338" t="s">
        <v>6188</v>
      </c>
      <c r="E1586" s="338" t="s">
        <v>5680</v>
      </c>
      <c r="F1586" s="338"/>
      <c r="G1586" s="338" t="s">
        <v>413</v>
      </c>
      <c r="H1586" s="338" t="s">
        <v>425</v>
      </c>
      <c r="I1586" s="338" t="s">
        <v>411</v>
      </c>
      <c r="J1586" s="339"/>
      <c r="K1586" s="339"/>
      <c r="L1586" s="339" t="s">
        <v>409</v>
      </c>
      <c r="M1586" s="339" t="s">
        <v>409</v>
      </c>
      <c r="N1586" s="338"/>
      <c r="O1586" s="338" t="s">
        <v>409</v>
      </c>
      <c r="P1586" s="338" t="s">
        <v>432</v>
      </c>
    </row>
    <row r="1587" spans="2:16" x14ac:dyDescent="0.25">
      <c r="B1587" s="336" t="s">
        <v>416</v>
      </c>
      <c r="C1587" s="337">
        <v>40659</v>
      </c>
      <c r="D1587" s="338" t="s">
        <v>6187</v>
      </c>
      <c r="E1587" s="338" t="s">
        <v>5709</v>
      </c>
      <c r="F1587" s="338"/>
      <c r="G1587" s="338" t="s">
        <v>413</v>
      </c>
      <c r="H1587" s="338" t="s">
        <v>412</v>
      </c>
      <c r="I1587" s="338" t="s">
        <v>411</v>
      </c>
      <c r="J1587" s="339"/>
      <c r="K1587" s="339"/>
      <c r="L1587" s="339" t="s">
        <v>409</v>
      </c>
      <c r="M1587" s="339" t="s">
        <v>409</v>
      </c>
      <c r="N1587" s="338" t="s">
        <v>410</v>
      </c>
      <c r="O1587" s="338" t="s">
        <v>409</v>
      </c>
      <c r="P1587" s="338" t="s">
        <v>410</v>
      </c>
    </row>
    <row r="1588" spans="2:16" x14ac:dyDescent="0.25">
      <c r="B1588" s="336" t="s">
        <v>416</v>
      </c>
      <c r="C1588" s="337">
        <v>40659</v>
      </c>
      <c r="D1588" s="338" t="s">
        <v>6186</v>
      </c>
      <c r="E1588" s="338" t="s">
        <v>2133</v>
      </c>
      <c r="F1588" s="338" t="s">
        <v>834</v>
      </c>
      <c r="G1588" s="338" t="s">
        <v>413</v>
      </c>
      <c r="H1588" s="338" t="s">
        <v>412</v>
      </c>
      <c r="I1588" s="338" t="s">
        <v>411</v>
      </c>
      <c r="J1588" s="339"/>
      <c r="K1588" s="339"/>
      <c r="L1588" s="339">
        <v>2.5924</v>
      </c>
      <c r="M1588" s="339">
        <v>7.8610699999999998</v>
      </c>
      <c r="N1588" s="338" t="s">
        <v>417</v>
      </c>
      <c r="O1588" s="338" t="s">
        <v>417</v>
      </c>
      <c r="P1588" s="338" t="s">
        <v>417</v>
      </c>
    </row>
    <row r="1589" spans="2:16" x14ac:dyDescent="0.25">
      <c r="B1589" s="336" t="s">
        <v>416</v>
      </c>
      <c r="C1589" s="337">
        <v>40653</v>
      </c>
      <c r="D1589" s="338" t="s">
        <v>1999</v>
      </c>
      <c r="E1589" s="338" t="s">
        <v>6185</v>
      </c>
      <c r="F1589" s="338" t="s">
        <v>1998</v>
      </c>
      <c r="G1589" s="338" t="s">
        <v>413</v>
      </c>
      <c r="H1589" s="338" t="s">
        <v>425</v>
      </c>
      <c r="I1589" s="338" t="s">
        <v>411</v>
      </c>
      <c r="J1589" s="339"/>
      <c r="K1589" s="339"/>
      <c r="L1589" s="339"/>
      <c r="M1589" s="339"/>
      <c r="N1589" s="338" t="s">
        <v>410</v>
      </c>
      <c r="O1589" s="338"/>
      <c r="P1589" s="338" t="s">
        <v>443</v>
      </c>
    </row>
    <row r="1590" spans="2:16" x14ac:dyDescent="0.25">
      <c r="B1590" s="336" t="s">
        <v>416</v>
      </c>
      <c r="C1590" s="337">
        <v>40653</v>
      </c>
      <c r="D1590" s="338" t="s">
        <v>6184</v>
      </c>
      <c r="E1590" s="338" t="s">
        <v>5742</v>
      </c>
      <c r="F1590" s="338" t="s">
        <v>6183</v>
      </c>
      <c r="G1590" s="338" t="s">
        <v>413</v>
      </c>
      <c r="H1590" s="338" t="s">
        <v>412</v>
      </c>
      <c r="I1590" s="338" t="s">
        <v>411</v>
      </c>
      <c r="J1590" s="339"/>
      <c r="K1590" s="339"/>
      <c r="L1590" s="339"/>
      <c r="M1590" s="339"/>
      <c r="N1590" s="338" t="s">
        <v>432</v>
      </c>
      <c r="O1590" s="338" t="s">
        <v>432</v>
      </c>
      <c r="P1590" s="338" t="s">
        <v>417</v>
      </c>
    </row>
    <row r="1591" spans="2:16" x14ac:dyDescent="0.25">
      <c r="B1591" s="336" t="s">
        <v>459</v>
      </c>
      <c r="C1591" s="337">
        <v>40652</v>
      </c>
      <c r="D1591" s="338" t="s">
        <v>6182</v>
      </c>
      <c r="E1591" s="338" t="s">
        <v>6181</v>
      </c>
      <c r="F1591" s="338"/>
      <c r="G1591" s="338">
        <v>50</v>
      </c>
      <c r="H1591" s="338" t="s">
        <v>425</v>
      </c>
      <c r="I1591" s="338" t="s">
        <v>411</v>
      </c>
      <c r="J1591" s="339"/>
      <c r="K1591" s="339"/>
      <c r="L1591" s="339" t="s">
        <v>409</v>
      </c>
      <c r="M1591" s="339" t="s">
        <v>409</v>
      </c>
      <c r="N1591" s="338" t="s">
        <v>417</v>
      </c>
      <c r="O1591" s="338" t="s">
        <v>409</v>
      </c>
      <c r="P1591" s="338"/>
    </row>
    <row r="1592" spans="2:16" x14ac:dyDescent="0.25">
      <c r="B1592" s="336" t="s">
        <v>416</v>
      </c>
      <c r="C1592" s="337">
        <v>40651</v>
      </c>
      <c r="D1592" s="338" t="s">
        <v>6180</v>
      </c>
      <c r="E1592" s="338" t="s">
        <v>6179</v>
      </c>
      <c r="F1592" s="338"/>
      <c r="G1592" s="338" t="s">
        <v>413</v>
      </c>
      <c r="H1592" s="338" t="s">
        <v>425</v>
      </c>
      <c r="I1592" s="338" t="s">
        <v>411</v>
      </c>
      <c r="J1592" s="339"/>
      <c r="K1592" s="339"/>
      <c r="L1592" s="339" t="s">
        <v>409</v>
      </c>
      <c r="M1592" s="339" t="s">
        <v>409</v>
      </c>
      <c r="N1592" s="338" t="s">
        <v>417</v>
      </c>
      <c r="O1592" s="338" t="s">
        <v>409</v>
      </c>
      <c r="P1592" s="338" t="s">
        <v>417</v>
      </c>
    </row>
    <row r="1593" spans="2:16" x14ac:dyDescent="0.25">
      <c r="B1593" s="336" t="s">
        <v>416</v>
      </c>
      <c r="C1593" s="337">
        <v>40651</v>
      </c>
      <c r="D1593" s="338" t="s">
        <v>6178</v>
      </c>
      <c r="E1593" s="338" t="s">
        <v>5440</v>
      </c>
      <c r="F1593" s="338"/>
      <c r="G1593" s="338" t="s">
        <v>413</v>
      </c>
      <c r="H1593" s="338" t="s">
        <v>412</v>
      </c>
      <c r="I1593" s="338" t="s">
        <v>411</v>
      </c>
      <c r="J1593" s="339"/>
      <c r="K1593" s="339"/>
      <c r="L1593" s="339" t="s">
        <v>409</v>
      </c>
      <c r="M1593" s="339" t="s">
        <v>409</v>
      </c>
      <c r="N1593" s="338" t="s">
        <v>432</v>
      </c>
      <c r="O1593" s="338" t="s">
        <v>409</v>
      </c>
      <c r="P1593" s="338" t="s">
        <v>417</v>
      </c>
    </row>
    <row r="1594" spans="2:16" x14ac:dyDescent="0.25">
      <c r="B1594" s="336" t="s">
        <v>416</v>
      </c>
      <c r="C1594" s="337">
        <v>40647</v>
      </c>
      <c r="D1594" s="338" t="s">
        <v>1320</v>
      </c>
      <c r="E1594" s="338" t="s">
        <v>6174</v>
      </c>
      <c r="F1594" s="338"/>
      <c r="G1594" s="338">
        <v>8.9499999999999993</v>
      </c>
      <c r="H1594" s="338" t="s">
        <v>425</v>
      </c>
      <c r="I1594" s="338" t="s">
        <v>411</v>
      </c>
      <c r="J1594" s="339">
        <v>1.27671</v>
      </c>
      <c r="K1594" s="339"/>
      <c r="L1594" s="339" t="s">
        <v>409</v>
      </c>
      <c r="M1594" s="339" t="s">
        <v>409</v>
      </c>
      <c r="N1594" s="338" t="s">
        <v>417</v>
      </c>
      <c r="O1594" s="338" t="s">
        <v>409</v>
      </c>
      <c r="P1594" s="338" t="s">
        <v>417</v>
      </c>
    </row>
    <row r="1595" spans="2:16" x14ac:dyDescent="0.25">
      <c r="B1595" s="336" t="s">
        <v>416</v>
      </c>
      <c r="C1595" s="337">
        <v>40647</v>
      </c>
      <c r="D1595" s="338" t="s">
        <v>6177</v>
      </c>
      <c r="E1595" s="338" t="s">
        <v>6176</v>
      </c>
      <c r="F1595" s="338"/>
      <c r="G1595" s="338" t="s">
        <v>413</v>
      </c>
      <c r="H1595" s="338" t="s">
        <v>412</v>
      </c>
      <c r="I1595" s="338" t="s">
        <v>411</v>
      </c>
      <c r="J1595" s="339"/>
      <c r="K1595" s="339"/>
      <c r="L1595" s="339" t="s">
        <v>409</v>
      </c>
      <c r="M1595" s="339" t="s">
        <v>409</v>
      </c>
      <c r="N1595" s="338" t="s">
        <v>417</v>
      </c>
      <c r="O1595" s="338" t="s">
        <v>409</v>
      </c>
      <c r="P1595" s="338" t="s">
        <v>417</v>
      </c>
    </row>
    <row r="1596" spans="2:16" x14ac:dyDescent="0.25">
      <c r="B1596" s="336" t="s">
        <v>416</v>
      </c>
      <c r="C1596" s="337">
        <v>40647</v>
      </c>
      <c r="D1596" s="338" t="s">
        <v>6175</v>
      </c>
      <c r="E1596" s="338" t="s">
        <v>6174</v>
      </c>
      <c r="F1596" s="338" t="s">
        <v>6173</v>
      </c>
      <c r="G1596" s="338">
        <v>21</v>
      </c>
      <c r="H1596" s="338" t="s">
        <v>425</v>
      </c>
      <c r="I1596" s="338" t="s">
        <v>411</v>
      </c>
      <c r="J1596" s="339"/>
      <c r="K1596" s="339"/>
      <c r="L1596" s="339"/>
      <c r="M1596" s="339"/>
      <c r="N1596" s="338" t="s">
        <v>417</v>
      </c>
      <c r="O1596" s="338" t="s">
        <v>417</v>
      </c>
      <c r="P1596" s="338" t="s">
        <v>417</v>
      </c>
    </row>
    <row r="1597" spans="2:16" x14ac:dyDescent="0.25">
      <c r="B1597" s="336" t="s">
        <v>416</v>
      </c>
      <c r="C1597" s="337">
        <v>40647</v>
      </c>
      <c r="D1597" s="338" t="s">
        <v>6172</v>
      </c>
      <c r="E1597" s="338" t="s">
        <v>5680</v>
      </c>
      <c r="F1597" s="338" t="s">
        <v>6171</v>
      </c>
      <c r="G1597" s="338" t="s">
        <v>413</v>
      </c>
      <c r="H1597" s="338" t="s">
        <v>412</v>
      </c>
      <c r="I1597" s="338" t="s">
        <v>411</v>
      </c>
      <c r="J1597" s="339"/>
      <c r="K1597" s="339"/>
      <c r="L1597" s="339"/>
      <c r="M1597" s="339"/>
      <c r="N1597" s="338"/>
      <c r="O1597" s="338" t="s">
        <v>417</v>
      </c>
      <c r="P1597" s="338" t="s">
        <v>432</v>
      </c>
    </row>
    <row r="1598" spans="2:16" x14ac:dyDescent="0.25">
      <c r="B1598" s="336" t="s">
        <v>416</v>
      </c>
      <c r="C1598" s="337">
        <v>40646</v>
      </c>
      <c r="D1598" s="338" t="s">
        <v>6170</v>
      </c>
      <c r="E1598" s="338" t="s">
        <v>3293</v>
      </c>
      <c r="F1598" s="338"/>
      <c r="G1598" s="338" t="s">
        <v>413</v>
      </c>
      <c r="H1598" s="338" t="s">
        <v>425</v>
      </c>
      <c r="I1598" s="338" t="s">
        <v>411</v>
      </c>
      <c r="J1598" s="339"/>
      <c r="K1598" s="339"/>
      <c r="L1598" s="339" t="s">
        <v>409</v>
      </c>
      <c r="M1598" s="339" t="s">
        <v>409</v>
      </c>
      <c r="N1598" s="338" t="s">
        <v>410</v>
      </c>
      <c r="O1598" s="338" t="s">
        <v>409</v>
      </c>
      <c r="P1598" s="338" t="s">
        <v>443</v>
      </c>
    </row>
    <row r="1599" spans="2:16" x14ac:dyDescent="0.25">
      <c r="B1599" s="336" t="s">
        <v>416</v>
      </c>
      <c r="C1599" s="337">
        <v>40646</v>
      </c>
      <c r="D1599" s="338" t="s">
        <v>6169</v>
      </c>
      <c r="E1599" s="338" t="s">
        <v>6168</v>
      </c>
      <c r="F1599" s="338"/>
      <c r="G1599" s="338" t="s">
        <v>413</v>
      </c>
      <c r="H1599" s="338" t="s">
        <v>412</v>
      </c>
      <c r="I1599" s="338" t="s">
        <v>411</v>
      </c>
      <c r="J1599" s="339"/>
      <c r="K1599" s="339"/>
      <c r="L1599" s="339" t="s">
        <v>409</v>
      </c>
      <c r="M1599" s="339" t="s">
        <v>409</v>
      </c>
      <c r="N1599" s="338" t="s">
        <v>417</v>
      </c>
      <c r="O1599" s="338" t="s">
        <v>409</v>
      </c>
      <c r="P1599" s="338" t="s">
        <v>417</v>
      </c>
    </row>
    <row r="1600" spans="2:16" x14ac:dyDescent="0.25">
      <c r="B1600" s="336" t="s">
        <v>1441</v>
      </c>
      <c r="C1600" s="337">
        <v>40646</v>
      </c>
      <c r="D1600" s="338" t="s">
        <v>6167</v>
      </c>
      <c r="E1600" s="338" t="s">
        <v>6166</v>
      </c>
      <c r="F1600" s="338"/>
      <c r="G1600" s="338" t="s">
        <v>413</v>
      </c>
      <c r="H1600" s="338" t="s">
        <v>412</v>
      </c>
      <c r="I1600" s="338" t="s">
        <v>1243</v>
      </c>
      <c r="J1600" s="339"/>
      <c r="K1600" s="339"/>
      <c r="L1600" s="339" t="s">
        <v>409</v>
      </c>
      <c r="M1600" s="339" t="s">
        <v>409</v>
      </c>
      <c r="N1600" s="338" t="s">
        <v>487</v>
      </c>
      <c r="O1600" s="338" t="s">
        <v>409</v>
      </c>
      <c r="P1600" s="338" t="s">
        <v>417</v>
      </c>
    </row>
    <row r="1601" spans="2:16" x14ac:dyDescent="0.25">
      <c r="B1601" s="336" t="s">
        <v>416</v>
      </c>
      <c r="C1601" s="337">
        <v>40645</v>
      </c>
      <c r="D1601" s="338" t="s">
        <v>552</v>
      </c>
      <c r="E1601" s="338" t="s">
        <v>6165</v>
      </c>
      <c r="F1601" s="338" t="s">
        <v>6164</v>
      </c>
      <c r="G1601" s="338" t="s">
        <v>413</v>
      </c>
      <c r="H1601" s="338" t="s">
        <v>425</v>
      </c>
      <c r="I1601" s="338" t="s">
        <v>411</v>
      </c>
      <c r="J1601" s="339"/>
      <c r="K1601" s="339"/>
      <c r="L1601" s="339"/>
      <c r="M1601" s="339"/>
      <c r="N1601" s="338"/>
      <c r="O1601" s="338" t="s">
        <v>410</v>
      </c>
      <c r="P1601" s="338" t="s">
        <v>605</v>
      </c>
    </row>
    <row r="1602" spans="2:16" x14ac:dyDescent="0.25">
      <c r="B1602" s="336" t="s">
        <v>416</v>
      </c>
      <c r="C1602" s="337">
        <v>40644</v>
      </c>
      <c r="D1602" s="338" t="s">
        <v>6163</v>
      </c>
      <c r="E1602" s="338" t="s">
        <v>5488</v>
      </c>
      <c r="F1602" s="338"/>
      <c r="G1602" s="338" t="s">
        <v>413</v>
      </c>
      <c r="H1602" s="338" t="s">
        <v>412</v>
      </c>
      <c r="I1602" s="338" t="s">
        <v>411</v>
      </c>
      <c r="J1602" s="339"/>
      <c r="K1602" s="339"/>
      <c r="L1602" s="339" t="s">
        <v>409</v>
      </c>
      <c r="M1602" s="339" t="s">
        <v>409</v>
      </c>
      <c r="N1602" s="338" t="s">
        <v>432</v>
      </c>
      <c r="O1602" s="338" t="s">
        <v>409</v>
      </c>
      <c r="P1602" s="338" t="s">
        <v>417</v>
      </c>
    </row>
    <row r="1603" spans="2:16" x14ac:dyDescent="0.25">
      <c r="B1603" s="336" t="s">
        <v>416</v>
      </c>
      <c r="C1603" s="337">
        <v>40641</v>
      </c>
      <c r="D1603" s="338" t="s">
        <v>6162</v>
      </c>
      <c r="E1603" s="338" t="s">
        <v>1922</v>
      </c>
      <c r="F1603" s="338" t="s">
        <v>6161</v>
      </c>
      <c r="G1603" s="338" t="s">
        <v>413</v>
      </c>
      <c r="H1603" s="338" t="s">
        <v>425</v>
      </c>
      <c r="I1603" s="338" t="s">
        <v>411</v>
      </c>
      <c r="J1603" s="339"/>
      <c r="K1603" s="339"/>
      <c r="L1603" s="339"/>
      <c r="M1603" s="339"/>
      <c r="N1603" s="338"/>
      <c r="O1603" s="338"/>
      <c r="P1603" s="338" t="s">
        <v>443</v>
      </c>
    </row>
    <row r="1604" spans="2:16" x14ac:dyDescent="0.25">
      <c r="B1604" s="336" t="s">
        <v>416</v>
      </c>
      <c r="C1604" s="337">
        <v>40640</v>
      </c>
      <c r="D1604" s="338" t="s">
        <v>2671</v>
      </c>
      <c r="E1604" s="338" t="s">
        <v>6160</v>
      </c>
      <c r="F1604" s="338"/>
      <c r="G1604" s="338" t="s">
        <v>413</v>
      </c>
      <c r="H1604" s="338" t="s">
        <v>425</v>
      </c>
      <c r="I1604" s="338" t="s">
        <v>411</v>
      </c>
      <c r="J1604" s="339">
        <v>0.22558400000000001</v>
      </c>
      <c r="K1604" s="339">
        <v>7.0914200000000003</v>
      </c>
      <c r="L1604" s="339" t="s">
        <v>409</v>
      </c>
      <c r="M1604" s="339" t="s">
        <v>409</v>
      </c>
      <c r="N1604" s="338" t="s">
        <v>417</v>
      </c>
      <c r="O1604" s="338" t="s">
        <v>409</v>
      </c>
      <c r="P1604" s="338" t="s">
        <v>543</v>
      </c>
    </row>
    <row r="1605" spans="2:16" x14ac:dyDescent="0.25">
      <c r="B1605" s="336" t="s">
        <v>542</v>
      </c>
      <c r="C1605" s="337">
        <v>40640</v>
      </c>
      <c r="D1605" s="338" t="s">
        <v>3868</v>
      </c>
      <c r="E1605" s="338" t="s">
        <v>539</v>
      </c>
      <c r="F1605" s="338"/>
      <c r="G1605" s="338">
        <v>400</v>
      </c>
      <c r="H1605" s="338"/>
      <c r="I1605" s="338" t="s">
        <v>411</v>
      </c>
      <c r="J1605" s="339">
        <v>4.6306000000000003</v>
      </c>
      <c r="K1605" s="339">
        <v>14.1675</v>
      </c>
      <c r="L1605" s="339" t="s">
        <v>409</v>
      </c>
      <c r="M1605" s="339" t="s">
        <v>409</v>
      </c>
      <c r="N1605" s="338" t="s">
        <v>417</v>
      </c>
      <c r="O1605" s="338" t="s">
        <v>409</v>
      </c>
      <c r="P1605" s="338" t="s">
        <v>417</v>
      </c>
    </row>
    <row r="1606" spans="2:16" x14ac:dyDescent="0.25">
      <c r="B1606" s="336" t="s">
        <v>416</v>
      </c>
      <c r="C1606" s="337">
        <v>40639</v>
      </c>
      <c r="D1606" s="338" t="s">
        <v>6159</v>
      </c>
      <c r="E1606" s="338" t="s">
        <v>6158</v>
      </c>
      <c r="F1606" s="338" t="s">
        <v>2939</v>
      </c>
      <c r="G1606" s="338">
        <v>226</v>
      </c>
      <c r="H1606" s="338" t="s">
        <v>425</v>
      </c>
      <c r="I1606" s="338" t="s">
        <v>411</v>
      </c>
      <c r="J1606" s="339"/>
      <c r="K1606" s="339"/>
      <c r="L1606" s="339"/>
      <c r="M1606" s="339"/>
      <c r="N1606" s="338" t="s">
        <v>417</v>
      </c>
      <c r="O1606" s="338" t="s">
        <v>417</v>
      </c>
      <c r="P1606" s="338" t="s">
        <v>432</v>
      </c>
    </row>
    <row r="1607" spans="2:16" x14ac:dyDescent="0.25">
      <c r="B1607" s="336" t="s">
        <v>416</v>
      </c>
      <c r="C1607" s="337">
        <v>40637</v>
      </c>
      <c r="D1607" s="338" t="s">
        <v>6157</v>
      </c>
      <c r="E1607" s="338" t="s">
        <v>5867</v>
      </c>
      <c r="F1607" s="338"/>
      <c r="G1607" s="338" t="s">
        <v>413</v>
      </c>
      <c r="H1607" s="338" t="s">
        <v>412</v>
      </c>
      <c r="I1607" s="338" t="s">
        <v>411</v>
      </c>
      <c r="J1607" s="339"/>
      <c r="K1607" s="339"/>
      <c r="L1607" s="339" t="s">
        <v>409</v>
      </c>
      <c r="M1607" s="339" t="s">
        <v>409</v>
      </c>
      <c r="N1607" s="338" t="s">
        <v>417</v>
      </c>
      <c r="O1607" s="338" t="s">
        <v>409</v>
      </c>
      <c r="P1607" s="338" t="s">
        <v>487</v>
      </c>
    </row>
    <row r="1608" spans="2:16" x14ac:dyDescent="0.25">
      <c r="B1608" s="336" t="s">
        <v>416</v>
      </c>
      <c r="C1608" s="337">
        <v>40637</v>
      </c>
      <c r="D1608" s="338" t="s">
        <v>6156</v>
      </c>
      <c r="E1608" s="338" t="s">
        <v>6155</v>
      </c>
      <c r="F1608" s="338"/>
      <c r="G1608" s="338" t="s">
        <v>413</v>
      </c>
      <c r="H1608" s="338" t="s">
        <v>425</v>
      </c>
      <c r="I1608" s="338" t="s">
        <v>411</v>
      </c>
      <c r="J1608" s="339"/>
      <c r="K1608" s="339"/>
      <c r="L1608" s="339" t="s">
        <v>409</v>
      </c>
      <c r="M1608" s="339" t="s">
        <v>409</v>
      </c>
      <c r="N1608" s="338"/>
      <c r="O1608" s="338" t="s">
        <v>409</v>
      </c>
      <c r="P1608" s="338" t="s">
        <v>417</v>
      </c>
    </row>
    <row r="1609" spans="2:16" x14ac:dyDescent="0.25">
      <c r="B1609" s="336" t="s">
        <v>416</v>
      </c>
      <c r="C1609" s="337">
        <v>40634</v>
      </c>
      <c r="D1609" s="338" t="s">
        <v>6153</v>
      </c>
      <c r="E1609" s="338" t="s">
        <v>3233</v>
      </c>
      <c r="F1609" s="338" t="s">
        <v>6154</v>
      </c>
      <c r="G1609" s="338">
        <v>5.53</v>
      </c>
      <c r="H1609" s="338" t="s">
        <v>425</v>
      </c>
      <c r="I1609" s="338" t="s">
        <v>411</v>
      </c>
      <c r="J1609" s="339"/>
      <c r="K1609" s="339"/>
      <c r="L1609" s="339">
        <v>0.111524</v>
      </c>
      <c r="M1609" s="339">
        <v>1.8446</v>
      </c>
      <c r="N1609" s="338"/>
      <c r="O1609" s="338" t="s">
        <v>417</v>
      </c>
      <c r="P1609" s="338" t="s">
        <v>443</v>
      </c>
    </row>
    <row r="1610" spans="2:16" x14ac:dyDescent="0.25">
      <c r="B1610" s="336" t="s">
        <v>459</v>
      </c>
      <c r="C1610" s="337">
        <v>40634</v>
      </c>
      <c r="D1610" s="338" t="s">
        <v>6153</v>
      </c>
      <c r="E1610" s="338" t="s">
        <v>3233</v>
      </c>
      <c r="F1610" s="338" t="s">
        <v>6152</v>
      </c>
      <c r="G1610" s="338">
        <v>5.32</v>
      </c>
      <c r="H1610" s="338" t="s">
        <v>425</v>
      </c>
      <c r="I1610" s="338" t="s">
        <v>411</v>
      </c>
      <c r="J1610" s="339"/>
      <c r="K1610" s="339"/>
      <c r="L1610" s="339"/>
      <c r="M1610" s="339"/>
      <c r="N1610" s="338"/>
      <c r="O1610" s="338" t="s">
        <v>443</v>
      </c>
      <c r="P1610" s="338" t="s">
        <v>443</v>
      </c>
    </row>
    <row r="1611" spans="2:16" x14ac:dyDescent="0.25">
      <c r="B1611" s="336" t="s">
        <v>416</v>
      </c>
      <c r="C1611" s="337">
        <v>40633</v>
      </c>
      <c r="D1611" s="338" t="s">
        <v>6151</v>
      </c>
      <c r="E1611" s="338" t="s">
        <v>540</v>
      </c>
      <c r="F1611" s="338"/>
      <c r="G1611" s="338" t="s">
        <v>413</v>
      </c>
      <c r="H1611" s="338" t="s">
        <v>412</v>
      </c>
      <c r="I1611" s="338" t="s">
        <v>411</v>
      </c>
      <c r="J1611" s="339"/>
      <c r="K1611" s="339"/>
      <c r="L1611" s="339" t="s">
        <v>409</v>
      </c>
      <c r="M1611" s="339" t="s">
        <v>409</v>
      </c>
      <c r="N1611" s="338" t="s">
        <v>432</v>
      </c>
      <c r="O1611" s="338" t="s">
        <v>409</v>
      </c>
      <c r="P1611" s="338" t="s">
        <v>417</v>
      </c>
    </row>
    <row r="1612" spans="2:16" x14ac:dyDescent="0.25">
      <c r="B1612" s="336" t="s">
        <v>416</v>
      </c>
      <c r="C1612" s="337">
        <v>40633</v>
      </c>
      <c r="D1612" s="338" t="s">
        <v>6150</v>
      </c>
      <c r="E1612" s="338" t="s">
        <v>540</v>
      </c>
      <c r="F1612" s="338"/>
      <c r="G1612" s="338" t="s">
        <v>413</v>
      </c>
      <c r="H1612" s="338" t="s">
        <v>412</v>
      </c>
      <c r="I1612" s="338" t="s">
        <v>411</v>
      </c>
      <c r="J1612" s="339"/>
      <c r="K1612" s="339"/>
      <c r="L1612" s="339" t="s">
        <v>409</v>
      </c>
      <c r="M1612" s="339" t="s">
        <v>409</v>
      </c>
      <c r="N1612" s="338" t="s">
        <v>432</v>
      </c>
      <c r="O1612" s="338" t="s">
        <v>409</v>
      </c>
      <c r="P1612" s="338" t="s">
        <v>417</v>
      </c>
    </row>
    <row r="1613" spans="2:16" x14ac:dyDescent="0.25">
      <c r="B1613" s="336" t="s">
        <v>416</v>
      </c>
      <c r="C1613" s="337">
        <v>40633</v>
      </c>
      <c r="D1613" s="338" t="s">
        <v>4461</v>
      </c>
      <c r="E1613" s="338" t="s">
        <v>4460</v>
      </c>
      <c r="F1613" s="338" t="s">
        <v>6149</v>
      </c>
      <c r="G1613" s="338">
        <v>3.24</v>
      </c>
      <c r="H1613" s="338" t="s">
        <v>425</v>
      </c>
      <c r="I1613" s="338" t="s">
        <v>411</v>
      </c>
      <c r="J1613" s="339"/>
      <c r="K1613" s="339"/>
      <c r="L1613" s="339"/>
      <c r="M1613" s="339"/>
      <c r="N1613" s="338" t="s">
        <v>417</v>
      </c>
      <c r="O1613" s="338" t="s">
        <v>443</v>
      </c>
      <c r="P1613" s="338" t="s">
        <v>417</v>
      </c>
    </row>
    <row r="1614" spans="2:16" x14ac:dyDescent="0.25">
      <c r="B1614" s="336" t="s">
        <v>416</v>
      </c>
      <c r="C1614" s="337">
        <v>40631</v>
      </c>
      <c r="D1614" s="338" t="s">
        <v>6148</v>
      </c>
      <c r="E1614" s="338" t="s">
        <v>3495</v>
      </c>
      <c r="F1614" s="338" t="s">
        <v>3494</v>
      </c>
      <c r="G1614" s="338" t="s">
        <v>413</v>
      </c>
      <c r="H1614" s="338" t="s">
        <v>425</v>
      </c>
      <c r="I1614" s="338" t="s">
        <v>411</v>
      </c>
      <c r="J1614" s="339"/>
      <c r="K1614" s="339"/>
      <c r="L1614" s="339">
        <v>4.4746899999999998</v>
      </c>
      <c r="M1614" s="339">
        <v>11.501300000000001</v>
      </c>
      <c r="N1614" s="338"/>
      <c r="O1614" s="338" t="s">
        <v>417</v>
      </c>
      <c r="P1614" s="338" t="s">
        <v>443</v>
      </c>
    </row>
    <row r="1615" spans="2:16" x14ac:dyDescent="0.25">
      <c r="B1615" s="336" t="s">
        <v>459</v>
      </c>
      <c r="C1615" s="337">
        <v>40630</v>
      </c>
      <c r="D1615" s="338" t="s">
        <v>6147</v>
      </c>
      <c r="E1615" s="338" t="s">
        <v>514</v>
      </c>
      <c r="F1615" s="338"/>
      <c r="G1615" s="338">
        <v>1.5</v>
      </c>
      <c r="H1615" s="338" t="s">
        <v>425</v>
      </c>
      <c r="I1615" s="338" t="s">
        <v>411</v>
      </c>
      <c r="J1615" s="339"/>
      <c r="K1615" s="339"/>
      <c r="L1615" s="339" t="s">
        <v>409</v>
      </c>
      <c r="M1615" s="339" t="s">
        <v>409</v>
      </c>
      <c r="N1615" s="338" t="s">
        <v>417</v>
      </c>
      <c r="O1615" s="338" t="s">
        <v>409</v>
      </c>
      <c r="P1615" s="338"/>
    </row>
    <row r="1616" spans="2:16" x14ac:dyDescent="0.25">
      <c r="B1616" s="336" t="s">
        <v>416</v>
      </c>
      <c r="C1616" s="337">
        <v>40627</v>
      </c>
      <c r="D1616" s="338" t="s">
        <v>6146</v>
      </c>
      <c r="E1616" s="338" t="s">
        <v>6145</v>
      </c>
      <c r="F1616" s="338"/>
      <c r="G1616" s="338" t="s">
        <v>413</v>
      </c>
      <c r="H1616" s="338" t="s">
        <v>412</v>
      </c>
      <c r="I1616" s="338" t="s">
        <v>411</v>
      </c>
      <c r="J1616" s="339"/>
      <c r="K1616" s="339"/>
      <c r="L1616" s="339" t="s">
        <v>409</v>
      </c>
      <c r="M1616" s="339" t="s">
        <v>409</v>
      </c>
      <c r="N1616" s="338" t="s">
        <v>417</v>
      </c>
      <c r="O1616" s="338" t="s">
        <v>409</v>
      </c>
      <c r="P1616" s="338" t="s">
        <v>410</v>
      </c>
    </row>
    <row r="1617" spans="2:16" x14ac:dyDescent="0.25">
      <c r="B1617" s="336" t="s">
        <v>1441</v>
      </c>
      <c r="C1617" s="337">
        <v>40626</v>
      </c>
      <c r="D1617" s="338" t="s">
        <v>6144</v>
      </c>
      <c r="E1617" s="338" t="s">
        <v>889</v>
      </c>
      <c r="F1617" s="338"/>
      <c r="G1617" s="338" t="s">
        <v>413</v>
      </c>
      <c r="H1617" s="338" t="s">
        <v>412</v>
      </c>
      <c r="I1617" s="338" t="s">
        <v>411</v>
      </c>
      <c r="J1617" s="339">
        <v>2.2185199999999998</v>
      </c>
      <c r="K1617" s="339"/>
      <c r="L1617" s="339" t="s">
        <v>409</v>
      </c>
      <c r="M1617" s="339" t="s">
        <v>409</v>
      </c>
      <c r="N1617" s="338" t="s">
        <v>410</v>
      </c>
      <c r="O1617" s="338" t="s">
        <v>409</v>
      </c>
      <c r="P1617" s="338" t="s">
        <v>410</v>
      </c>
    </row>
    <row r="1618" spans="2:16" x14ac:dyDescent="0.25">
      <c r="B1618" s="336" t="s">
        <v>416</v>
      </c>
      <c r="C1618" s="337">
        <v>40626</v>
      </c>
      <c r="D1618" s="338" t="s">
        <v>1498</v>
      </c>
      <c r="E1618" s="338" t="s">
        <v>2950</v>
      </c>
      <c r="F1618" s="338" t="s">
        <v>3106</v>
      </c>
      <c r="G1618" s="338" t="s">
        <v>413</v>
      </c>
      <c r="H1618" s="338" t="s">
        <v>412</v>
      </c>
      <c r="I1618" s="338" t="s">
        <v>411</v>
      </c>
      <c r="J1618" s="339">
        <v>0.59405200000000002</v>
      </c>
      <c r="K1618" s="339"/>
      <c r="L1618" s="339"/>
      <c r="M1618" s="339"/>
      <c r="N1618" s="338" t="s">
        <v>417</v>
      </c>
      <c r="O1618" s="338" t="s">
        <v>443</v>
      </c>
      <c r="P1618" s="338" t="s">
        <v>443</v>
      </c>
    </row>
    <row r="1619" spans="2:16" x14ac:dyDescent="0.25">
      <c r="B1619" s="336" t="s">
        <v>416</v>
      </c>
      <c r="C1619" s="337">
        <v>40626</v>
      </c>
      <c r="D1619" s="338" t="s">
        <v>6143</v>
      </c>
      <c r="E1619" s="338" t="s">
        <v>1619</v>
      </c>
      <c r="F1619" s="338"/>
      <c r="G1619" s="338">
        <v>396.92</v>
      </c>
      <c r="H1619" s="338" t="s">
        <v>425</v>
      </c>
      <c r="I1619" s="338" t="s">
        <v>411</v>
      </c>
      <c r="J1619" s="339">
        <v>0.82519299999999995</v>
      </c>
      <c r="K1619" s="339">
        <v>93.442999999999998</v>
      </c>
      <c r="L1619" s="339" t="s">
        <v>409</v>
      </c>
      <c r="M1619" s="339" t="s">
        <v>409</v>
      </c>
      <c r="N1619" s="338" t="s">
        <v>417</v>
      </c>
      <c r="O1619" s="338" t="s">
        <v>409</v>
      </c>
      <c r="P1619" s="338" t="s">
        <v>417</v>
      </c>
    </row>
    <row r="1620" spans="2:16" x14ac:dyDescent="0.25">
      <c r="B1620" s="336" t="s">
        <v>416</v>
      </c>
      <c r="C1620" s="337">
        <v>40625</v>
      </c>
      <c r="D1620" s="338" t="s">
        <v>6142</v>
      </c>
      <c r="E1620" s="338" t="s">
        <v>6141</v>
      </c>
      <c r="F1620" s="338" t="s">
        <v>1373</v>
      </c>
      <c r="G1620" s="338">
        <v>215</v>
      </c>
      <c r="H1620" s="338" t="s">
        <v>425</v>
      </c>
      <c r="I1620" s="338" t="s">
        <v>411</v>
      </c>
      <c r="J1620" s="339"/>
      <c r="K1620" s="339"/>
      <c r="L1620" s="339">
        <v>3.72275</v>
      </c>
      <c r="M1620" s="339">
        <v>16.232900000000001</v>
      </c>
      <c r="N1620" s="338"/>
      <c r="O1620" s="338" t="s">
        <v>410</v>
      </c>
      <c r="P1620" s="338" t="s">
        <v>410</v>
      </c>
    </row>
    <row r="1621" spans="2:16" x14ac:dyDescent="0.25">
      <c r="B1621" s="336" t="s">
        <v>416</v>
      </c>
      <c r="C1621" s="337">
        <v>40625</v>
      </c>
      <c r="D1621" s="338" t="s">
        <v>6140</v>
      </c>
      <c r="E1621" s="338" t="s">
        <v>485</v>
      </c>
      <c r="F1621" s="338"/>
      <c r="G1621" s="338">
        <v>6.3</v>
      </c>
      <c r="H1621" s="338" t="s">
        <v>425</v>
      </c>
      <c r="I1621" s="338" t="s">
        <v>411</v>
      </c>
      <c r="J1621" s="339"/>
      <c r="K1621" s="339"/>
      <c r="L1621" s="339" t="s">
        <v>409</v>
      </c>
      <c r="M1621" s="339" t="s">
        <v>409</v>
      </c>
      <c r="N1621" s="338"/>
      <c r="O1621" s="338" t="s">
        <v>409</v>
      </c>
      <c r="P1621" s="338" t="s">
        <v>417</v>
      </c>
    </row>
    <row r="1622" spans="2:16" x14ac:dyDescent="0.25">
      <c r="B1622" s="336" t="s">
        <v>416</v>
      </c>
      <c r="C1622" s="337">
        <v>40625</v>
      </c>
      <c r="D1622" s="338" t="s">
        <v>6139</v>
      </c>
      <c r="E1622" s="338" t="s">
        <v>5103</v>
      </c>
      <c r="F1622" s="338"/>
      <c r="G1622" s="338" t="s">
        <v>413</v>
      </c>
      <c r="H1622" s="338" t="s">
        <v>412</v>
      </c>
      <c r="I1622" s="338" t="s">
        <v>411</v>
      </c>
      <c r="J1622" s="339"/>
      <c r="K1622" s="339"/>
      <c r="L1622" s="339" t="s">
        <v>409</v>
      </c>
      <c r="M1622" s="339" t="s">
        <v>409</v>
      </c>
      <c r="N1622" s="338" t="s">
        <v>417</v>
      </c>
      <c r="O1622" s="338" t="s">
        <v>409</v>
      </c>
      <c r="P1622" s="338" t="s">
        <v>417</v>
      </c>
    </row>
    <row r="1623" spans="2:16" x14ac:dyDescent="0.25">
      <c r="B1623" s="336" t="s">
        <v>416</v>
      </c>
      <c r="C1623" s="337">
        <v>40623</v>
      </c>
      <c r="D1623" s="338" t="s">
        <v>6138</v>
      </c>
      <c r="E1623" s="338" t="s">
        <v>6137</v>
      </c>
      <c r="F1623" s="338"/>
      <c r="G1623" s="338" t="s">
        <v>413</v>
      </c>
      <c r="H1623" s="338" t="s">
        <v>412</v>
      </c>
      <c r="I1623" s="338" t="s">
        <v>411</v>
      </c>
      <c r="J1623" s="339"/>
      <c r="K1623" s="339"/>
      <c r="L1623" s="339" t="s">
        <v>409</v>
      </c>
      <c r="M1623" s="339" t="s">
        <v>409</v>
      </c>
      <c r="N1623" s="338" t="s">
        <v>432</v>
      </c>
      <c r="O1623" s="338" t="s">
        <v>409</v>
      </c>
      <c r="P1623" s="338" t="s">
        <v>417</v>
      </c>
    </row>
    <row r="1624" spans="2:16" x14ac:dyDescent="0.25">
      <c r="B1624" s="336" t="s">
        <v>416</v>
      </c>
      <c r="C1624" s="337">
        <v>40620</v>
      </c>
      <c r="D1624" s="338" t="s">
        <v>3488</v>
      </c>
      <c r="E1624" s="338" t="s">
        <v>6136</v>
      </c>
      <c r="F1624" s="338" t="s">
        <v>3210</v>
      </c>
      <c r="G1624" s="338" t="s">
        <v>413</v>
      </c>
      <c r="H1624" s="338" t="s">
        <v>425</v>
      </c>
      <c r="I1624" s="338" t="s">
        <v>411</v>
      </c>
      <c r="J1624" s="339"/>
      <c r="K1624" s="339"/>
      <c r="L1624" s="339"/>
      <c r="M1624" s="339"/>
      <c r="N1624" s="338"/>
      <c r="O1624" s="338" t="s">
        <v>443</v>
      </c>
      <c r="P1624" s="338" t="s">
        <v>410</v>
      </c>
    </row>
    <row r="1625" spans="2:16" x14ac:dyDescent="0.25">
      <c r="B1625" s="336" t="s">
        <v>416</v>
      </c>
      <c r="C1625" s="337">
        <v>40620</v>
      </c>
      <c r="D1625" s="338" t="s">
        <v>6135</v>
      </c>
      <c r="E1625" s="338" t="s">
        <v>6134</v>
      </c>
      <c r="F1625" s="338"/>
      <c r="G1625" s="338" t="s">
        <v>413</v>
      </c>
      <c r="H1625" s="338" t="s">
        <v>412</v>
      </c>
      <c r="I1625" s="338" t="s">
        <v>411</v>
      </c>
      <c r="J1625" s="339"/>
      <c r="K1625" s="339"/>
      <c r="L1625" s="339" t="s">
        <v>409</v>
      </c>
      <c r="M1625" s="339" t="s">
        <v>409</v>
      </c>
      <c r="N1625" s="338" t="s">
        <v>417</v>
      </c>
      <c r="O1625" s="338" t="s">
        <v>409</v>
      </c>
      <c r="P1625" s="338"/>
    </row>
    <row r="1626" spans="2:16" x14ac:dyDescent="0.25">
      <c r="B1626" s="336" t="s">
        <v>459</v>
      </c>
      <c r="C1626" s="337">
        <v>40620</v>
      </c>
      <c r="D1626" s="338" t="s">
        <v>3550</v>
      </c>
      <c r="E1626" s="338" t="s">
        <v>6133</v>
      </c>
      <c r="F1626" s="338"/>
      <c r="G1626" s="338">
        <v>49</v>
      </c>
      <c r="H1626" s="338" t="s">
        <v>425</v>
      </c>
      <c r="I1626" s="338" t="s">
        <v>411</v>
      </c>
      <c r="J1626" s="339"/>
      <c r="K1626" s="339"/>
      <c r="L1626" s="339" t="s">
        <v>409</v>
      </c>
      <c r="M1626" s="339" t="s">
        <v>409</v>
      </c>
      <c r="N1626" s="338" t="s">
        <v>417</v>
      </c>
      <c r="O1626" s="338" t="s">
        <v>409</v>
      </c>
      <c r="P1626" s="338" t="s">
        <v>443</v>
      </c>
    </row>
    <row r="1627" spans="2:16" x14ac:dyDescent="0.25">
      <c r="B1627" s="336" t="s">
        <v>416</v>
      </c>
      <c r="C1627" s="337">
        <v>40619</v>
      </c>
      <c r="D1627" s="338" t="s">
        <v>6132</v>
      </c>
      <c r="E1627" s="338" t="s">
        <v>6131</v>
      </c>
      <c r="F1627" s="338" t="s">
        <v>6130</v>
      </c>
      <c r="G1627" s="338">
        <v>150</v>
      </c>
      <c r="H1627" s="338" t="s">
        <v>425</v>
      </c>
      <c r="I1627" s="338" t="s">
        <v>411</v>
      </c>
      <c r="J1627" s="339"/>
      <c r="K1627" s="339"/>
      <c r="L1627" s="339"/>
      <c r="M1627" s="339"/>
      <c r="N1627" s="338"/>
      <c r="O1627" s="338" t="s">
        <v>417</v>
      </c>
      <c r="P1627" s="338" t="s">
        <v>417</v>
      </c>
    </row>
    <row r="1628" spans="2:16" x14ac:dyDescent="0.25">
      <c r="B1628" s="336" t="s">
        <v>416</v>
      </c>
      <c r="C1628" s="337">
        <v>40619</v>
      </c>
      <c r="D1628" s="338" t="s">
        <v>6129</v>
      </c>
      <c r="E1628" s="338" t="s">
        <v>4464</v>
      </c>
      <c r="F1628" s="338" t="s">
        <v>6128</v>
      </c>
      <c r="G1628" s="338">
        <v>60</v>
      </c>
      <c r="H1628" s="338" t="s">
        <v>425</v>
      </c>
      <c r="I1628" s="338" t="s">
        <v>411</v>
      </c>
      <c r="J1628" s="339"/>
      <c r="K1628" s="339"/>
      <c r="L1628" s="339"/>
      <c r="M1628" s="339"/>
      <c r="N1628" s="338"/>
      <c r="O1628" s="338" t="s">
        <v>410</v>
      </c>
      <c r="P1628" s="338" t="s">
        <v>410</v>
      </c>
    </row>
    <row r="1629" spans="2:16" x14ac:dyDescent="0.25">
      <c r="B1629" s="336" t="s">
        <v>416</v>
      </c>
      <c r="C1629" s="337">
        <v>40619</v>
      </c>
      <c r="D1629" s="338" t="s">
        <v>6127</v>
      </c>
      <c r="E1629" s="338" t="s">
        <v>1662</v>
      </c>
      <c r="F1629" s="338"/>
      <c r="G1629" s="338">
        <v>8.6</v>
      </c>
      <c r="H1629" s="338" t="s">
        <v>425</v>
      </c>
      <c r="I1629" s="338" t="s">
        <v>411</v>
      </c>
      <c r="J1629" s="339"/>
      <c r="K1629" s="339"/>
      <c r="L1629" s="339" t="s">
        <v>409</v>
      </c>
      <c r="M1629" s="339" t="s">
        <v>409</v>
      </c>
      <c r="N1629" s="338" t="s">
        <v>605</v>
      </c>
      <c r="O1629" s="338" t="s">
        <v>409</v>
      </c>
      <c r="P1629" s="338" t="s">
        <v>417</v>
      </c>
    </row>
    <row r="1630" spans="2:16" x14ac:dyDescent="0.25">
      <c r="B1630" s="336" t="s">
        <v>416</v>
      </c>
      <c r="C1630" s="337">
        <v>40618</v>
      </c>
      <c r="D1630" s="338" t="s">
        <v>945</v>
      </c>
      <c r="E1630" s="338" t="s">
        <v>6126</v>
      </c>
      <c r="F1630" s="338" t="s">
        <v>6125</v>
      </c>
      <c r="G1630" s="338">
        <v>33.799999999999997</v>
      </c>
      <c r="H1630" s="338" t="s">
        <v>425</v>
      </c>
      <c r="I1630" s="338" t="s">
        <v>411</v>
      </c>
      <c r="J1630" s="339"/>
      <c r="K1630" s="339"/>
      <c r="L1630" s="339"/>
      <c r="M1630" s="339"/>
      <c r="N1630" s="338"/>
      <c r="O1630" s="338" t="s">
        <v>417</v>
      </c>
      <c r="P1630" s="338" t="s">
        <v>417</v>
      </c>
    </row>
    <row r="1631" spans="2:16" x14ac:dyDescent="0.25">
      <c r="B1631" s="336" t="s">
        <v>416</v>
      </c>
      <c r="C1631" s="337">
        <v>40618</v>
      </c>
      <c r="D1631" s="338" t="s">
        <v>1966</v>
      </c>
      <c r="E1631" s="338" t="s">
        <v>2049</v>
      </c>
      <c r="F1631" s="338" t="s">
        <v>1733</v>
      </c>
      <c r="G1631" s="338" t="s">
        <v>413</v>
      </c>
      <c r="H1631" s="338" t="s">
        <v>425</v>
      </c>
      <c r="I1631" s="338" t="s">
        <v>411</v>
      </c>
      <c r="J1631" s="339">
        <v>0.75124400000000002</v>
      </c>
      <c r="K1631" s="339">
        <v>13.3161</v>
      </c>
      <c r="L1631" s="339"/>
      <c r="M1631" s="339"/>
      <c r="N1631" s="338" t="s">
        <v>417</v>
      </c>
      <c r="O1631" s="338" t="s">
        <v>443</v>
      </c>
      <c r="P1631" s="338" t="s">
        <v>443</v>
      </c>
    </row>
    <row r="1632" spans="2:16" x14ac:dyDescent="0.25">
      <c r="B1632" s="336" t="s">
        <v>459</v>
      </c>
      <c r="C1632" s="337">
        <v>40616</v>
      </c>
      <c r="D1632" s="338" t="s">
        <v>5015</v>
      </c>
      <c r="E1632" s="338" t="s">
        <v>6124</v>
      </c>
      <c r="F1632" s="338"/>
      <c r="G1632" s="338">
        <v>16</v>
      </c>
      <c r="H1632" s="338" t="s">
        <v>425</v>
      </c>
      <c r="I1632" s="338" t="s">
        <v>411</v>
      </c>
      <c r="J1632" s="339"/>
      <c r="K1632" s="339"/>
      <c r="L1632" s="339" t="s">
        <v>409</v>
      </c>
      <c r="M1632" s="339" t="s">
        <v>409</v>
      </c>
      <c r="N1632" s="338" t="s">
        <v>410</v>
      </c>
      <c r="O1632" s="338" t="s">
        <v>409</v>
      </c>
      <c r="P1632" s="338"/>
    </row>
    <row r="1633" spans="2:16" x14ac:dyDescent="0.25">
      <c r="B1633" s="336" t="s">
        <v>416</v>
      </c>
      <c r="C1633" s="337">
        <v>40616</v>
      </c>
      <c r="D1633" s="338" t="s">
        <v>4825</v>
      </c>
      <c r="E1633" s="338" t="s">
        <v>6123</v>
      </c>
      <c r="F1633" s="338"/>
      <c r="G1633" s="338" t="s">
        <v>413</v>
      </c>
      <c r="H1633" s="338" t="s">
        <v>412</v>
      </c>
      <c r="I1633" s="338" t="s">
        <v>411</v>
      </c>
      <c r="J1633" s="339"/>
      <c r="K1633" s="339"/>
      <c r="L1633" s="339" t="s">
        <v>409</v>
      </c>
      <c r="M1633" s="339" t="s">
        <v>409</v>
      </c>
      <c r="N1633" s="338" t="s">
        <v>417</v>
      </c>
      <c r="O1633" s="338" t="s">
        <v>409</v>
      </c>
      <c r="P1633" s="338" t="s">
        <v>417</v>
      </c>
    </row>
    <row r="1634" spans="2:16" x14ac:dyDescent="0.25">
      <c r="B1634" s="336" t="s">
        <v>416</v>
      </c>
      <c r="C1634" s="337">
        <v>40612</v>
      </c>
      <c r="D1634" s="338" t="s">
        <v>6122</v>
      </c>
      <c r="E1634" s="338" t="s">
        <v>6121</v>
      </c>
      <c r="F1634" s="338" t="s">
        <v>6120</v>
      </c>
      <c r="G1634" s="338">
        <v>500</v>
      </c>
      <c r="H1634" s="338" t="s">
        <v>425</v>
      </c>
      <c r="I1634" s="338" t="s">
        <v>411</v>
      </c>
      <c r="J1634" s="339"/>
      <c r="K1634" s="339"/>
      <c r="L1634" s="339"/>
      <c r="M1634" s="339"/>
      <c r="N1634" s="338" t="s">
        <v>417</v>
      </c>
      <c r="O1634" s="338" t="s">
        <v>417</v>
      </c>
      <c r="P1634" s="338" t="s">
        <v>417</v>
      </c>
    </row>
    <row r="1635" spans="2:16" x14ac:dyDescent="0.25">
      <c r="B1635" s="336" t="s">
        <v>416</v>
      </c>
      <c r="C1635" s="337">
        <v>40611</v>
      </c>
      <c r="D1635" s="338" t="s">
        <v>6119</v>
      </c>
      <c r="E1635" s="338" t="s">
        <v>6118</v>
      </c>
      <c r="F1635" s="338" t="s">
        <v>1619</v>
      </c>
      <c r="G1635" s="338">
        <v>525</v>
      </c>
      <c r="H1635" s="338" t="s">
        <v>425</v>
      </c>
      <c r="I1635" s="338" t="s">
        <v>411</v>
      </c>
      <c r="J1635" s="339"/>
      <c r="K1635" s="339"/>
      <c r="L1635" s="339">
        <v>0.91461099999999995</v>
      </c>
      <c r="M1635" s="339">
        <v>13.7773</v>
      </c>
      <c r="N1635" s="338" t="s">
        <v>410</v>
      </c>
      <c r="O1635" s="338" t="s">
        <v>417</v>
      </c>
      <c r="P1635" s="338" t="s">
        <v>410</v>
      </c>
    </row>
    <row r="1636" spans="2:16" x14ac:dyDescent="0.25">
      <c r="B1636" s="336" t="s">
        <v>416</v>
      </c>
      <c r="C1636" s="337">
        <v>40611</v>
      </c>
      <c r="D1636" s="338" t="s">
        <v>6117</v>
      </c>
      <c r="E1636" s="338" t="s">
        <v>6116</v>
      </c>
      <c r="F1636" s="338"/>
      <c r="G1636" s="338" t="s">
        <v>413</v>
      </c>
      <c r="H1636" s="338" t="s">
        <v>412</v>
      </c>
      <c r="I1636" s="338" t="s">
        <v>411</v>
      </c>
      <c r="J1636" s="339"/>
      <c r="K1636" s="339"/>
      <c r="L1636" s="339" t="s">
        <v>409</v>
      </c>
      <c r="M1636" s="339" t="s">
        <v>409</v>
      </c>
      <c r="N1636" s="338" t="s">
        <v>417</v>
      </c>
      <c r="O1636" s="338" t="s">
        <v>409</v>
      </c>
      <c r="P1636" s="338" t="s">
        <v>443</v>
      </c>
    </row>
    <row r="1637" spans="2:16" x14ac:dyDescent="0.25">
      <c r="B1637" s="336" t="s">
        <v>459</v>
      </c>
      <c r="C1637" s="337">
        <v>40610</v>
      </c>
      <c r="D1637" s="338" t="s">
        <v>6115</v>
      </c>
      <c r="E1637" s="338" t="s">
        <v>6114</v>
      </c>
      <c r="F1637" s="338"/>
      <c r="G1637" s="338">
        <v>5.0999999999999996</v>
      </c>
      <c r="H1637" s="338" t="s">
        <v>425</v>
      </c>
      <c r="I1637" s="338" t="s">
        <v>411</v>
      </c>
      <c r="J1637" s="339"/>
      <c r="K1637" s="339"/>
      <c r="L1637" s="339" t="s">
        <v>409</v>
      </c>
      <c r="M1637" s="339" t="s">
        <v>409</v>
      </c>
      <c r="N1637" s="338" t="s">
        <v>410</v>
      </c>
      <c r="O1637" s="338" t="s">
        <v>409</v>
      </c>
      <c r="P1637" s="338"/>
    </row>
    <row r="1638" spans="2:16" x14ac:dyDescent="0.25">
      <c r="B1638" s="336" t="s">
        <v>416</v>
      </c>
      <c r="C1638" s="337">
        <v>40610</v>
      </c>
      <c r="D1638" s="338" t="s">
        <v>6113</v>
      </c>
      <c r="E1638" s="338" t="s">
        <v>1322</v>
      </c>
      <c r="F1638" s="338"/>
      <c r="G1638" s="338" t="s">
        <v>413</v>
      </c>
      <c r="H1638" s="338" t="s">
        <v>425</v>
      </c>
      <c r="I1638" s="338" t="s">
        <v>411</v>
      </c>
      <c r="J1638" s="339"/>
      <c r="K1638" s="339"/>
      <c r="L1638" s="339" t="s">
        <v>409</v>
      </c>
      <c r="M1638" s="339" t="s">
        <v>409</v>
      </c>
      <c r="N1638" s="338" t="s">
        <v>417</v>
      </c>
      <c r="O1638" s="338" t="s">
        <v>409</v>
      </c>
      <c r="P1638" s="338" t="s">
        <v>417</v>
      </c>
    </row>
    <row r="1639" spans="2:16" x14ac:dyDescent="0.25">
      <c r="B1639" s="336" t="s">
        <v>416</v>
      </c>
      <c r="C1639" s="337">
        <v>40609</v>
      </c>
      <c r="D1639" s="338" t="s">
        <v>6112</v>
      </c>
      <c r="E1639" s="338" t="s">
        <v>874</v>
      </c>
      <c r="F1639" s="338"/>
      <c r="G1639" s="338" t="s">
        <v>413</v>
      </c>
      <c r="H1639" s="338" t="s">
        <v>412</v>
      </c>
      <c r="I1639" s="338" t="s">
        <v>411</v>
      </c>
      <c r="J1639" s="339"/>
      <c r="K1639" s="339"/>
      <c r="L1639" s="339" t="s">
        <v>409</v>
      </c>
      <c r="M1639" s="339" t="s">
        <v>409</v>
      </c>
      <c r="N1639" s="338" t="s">
        <v>417</v>
      </c>
      <c r="O1639" s="338" t="s">
        <v>409</v>
      </c>
      <c r="P1639" s="338" t="s">
        <v>417</v>
      </c>
    </row>
    <row r="1640" spans="2:16" x14ac:dyDescent="0.25">
      <c r="B1640" s="336" t="s">
        <v>416</v>
      </c>
      <c r="C1640" s="337">
        <v>40609</v>
      </c>
      <c r="D1640" s="338" t="s">
        <v>6111</v>
      </c>
      <c r="E1640" s="338" t="s">
        <v>2218</v>
      </c>
      <c r="F1640" s="338" t="s">
        <v>6110</v>
      </c>
      <c r="G1640" s="338">
        <v>27.6</v>
      </c>
      <c r="H1640" s="338" t="s">
        <v>425</v>
      </c>
      <c r="I1640" s="338" t="s">
        <v>411</v>
      </c>
      <c r="J1640" s="339"/>
      <c r="K1640" s="339"/>
      <c r="L1640" s="339">
        <v>0.49660399999999999</v>
      </c>
      <c r="M1640" s="339"/>
      <c r="N1640" s="338"/>
      <c r="O1640" s="338" t="s">
        <v>417</v>
      </c>
      <c r="P1640" s="338" t="s">
        <v>443</v>
      </c>
    </row>
    <row r="1641" spans="2:16" x14ac:dyDescent="0.25">
      <c r="B1641" s="336" t="s">
        <v>416</v>
      </c>
      <c r="C1641" s="337">
        <v>40609</v>
      </c>
      <c r="D1641" s="338" t="s">
        <v>6109</v>
      </c>
      <c r="E1641" s="338" t="s">
        <v>2520</v>
      </c>
      <c r="F1641" s="338"/>
      <c r="G1641" s="338" t="s">
        <v>413</v>
      </c>
      <c r="H1641" s="338" t="s">
        <v>412</v>
      </c>
      <c r="I1641" s="338" t="s">
        <v>411</v>
      </c>
      <c r="J1641" s="339"/>
      <c r="K1641" s="339"/>
      <c r="L1641" s="339" t="s">
        <v>409</v>
      </c>
      <c r="M1641" s="339" t="s">
        <v>409</v>
      </c>
      <c r="N1641" s="338" t="s">
        <v>417</v>
      </c>
      <c r="O1641" s="338" t="s">
        <v>409</v>
      </c>
      <c r="P1641" s="338" t="s">
        <v>417</v>
      </c>
    </row>
    <row r="1642" spans="2:16" x14ac:dyDescent="0.25">
      <c r="B1642" s="336" t="s">
        <v>416</v>
      </c>
      <c r="C1642" s="337">
        <v>40609</v>
      </c>
      <c r="D1642" s="338" t="s">
        <v>6108</v>
      </c>
      <c r="E1642" s="338" t="s">
        <v>2513</v>
      </c>
      <c r="F1642" s="338" t="s">
        <v>6107</v>
      </c>
      <c r="G1642" s="338" t="s">
        <v>413</v>
      </c>
      <c r="H1642" s="338" t="s">
        <v>425</v>
      </c>
      <c r="I1642" s="338" t="s">
        <v>411</v>
      </c>
      <c r="J1642" s="339"/>
      <c r="K1642" s="339"/>
      <c r="L1642" s="339"/>
      <c r="M1642" s="339"/>
      <c r="N1642" s="338"/>
      <c r="O1642" s="338" t="s">
        <v>417</v>
      </c>
      <c r="P1642" s="338" t="s">
        <v>417</v>
      </c>
    </row>
    <row r="1643" spans="2:16" x14ac:dyDescent="0.25">
      <c r="B1643" s="336" t="s">
        <v>416</v>
      </c>
      <c r="C1643" s="337">
        <v>40606</v>
      </c>
      <c r="D1643" s="338" t="s">
        <v>6106</v>
      </c>
      <c r="E1643" s="338" t="s">
        <v>6105</v>
      </c>
      <c r="F1643" s="338" t="s">
        <v>6104</v>
      </c>
      <c r="G1643" s="338">
        <v>324</v>
      </c>
      <c r="H1643" s="338" t="s">
        <v>425</v>
      </c>
      <c r="I1643" s="338" t="s">
        <v>411</v>
      </c>
      <c r="J1643" s="339"/>
      <c r="K1643" s="339"/>
      <c r="L1643" s="339"/>
      <c r="M1643" s="339"/>
      <c r="N1643" s="338"/>
      <c r="O1643" s="338"/>
      <c r="P1643" s="338" t="s">
        <v>417</v>
      </c>
    </row>
    <row r="1644" spans="2:16" x14ac:dyDescent="0.25">
      <c r="B1644" s="336" t="s">
        <v>416</v>
      </c>
      <c r="C1644" s="337">
        <v>40605</v>
      </c>
      <c r="D1644" s="338" t="s">
        <v>6103</v>
      </c>
      <c r="E1644" s="338" t="s">
        <v>3868</v>
      </c>
      <c r="F1644" s="338"/>
      <c r="G1644" s="338" t="s">
        <v>413</v>
      </c>
      <c r="H1644" s="338" t="s">
        <v>412</v>
      </c>
      <c r="I1644" s="338" t="s">
        <v>411</v>
      </c>
      <c r="J1644" s="339"/>
      <c r="K1644" s="339"/>
      <c r="L1644" s="339" t="s">
        <v>409</v>
      </c>
      <c r="M1644" s="339" t="s">
        <v>409</v>
      </c>
      <c r="N1644" s="338" t="s">
        <v>443</v>
      </c>
      <c r="O1644" s="338" t="s">
        <v>409</v>
      </c>
      <c r="P1644" s="338" t="s">
        <v>417</v>
      </c>
    </row>
    <row r="1645" spans="2:16" x14ac:dyDescent="0.25">
      <c r="B1645" s="336" t="s">
        <v>416</v>
      </c>
      <c r="C1645" s="337">
        <v>40605</v>
      </c>
      <c r="D1645" s="338" t="s">
        <v>6102</v>
      </c>
      <c r="E1645" s="338" t="s">
        <v>1225</v>
      </c>
      <c r="F1645" s="338" t="s">
        <v>6101</v>
      </c>
      <c r="G1645" s="338" t="s">
        <v>413</v>
      </c>
      <c r="H1645" s="338" t="s">
        <v>425</v>
      </c>
      <c r="I1645" s="338" t="s">
        <v>411</v>
      </c>
      <c r="J1645" s="339"/>
      <c r="K1645" s="339"/>
      <c r="L1645" s="339"/>
      <c r="M1645" s="339"/>
      <c r="N1645" s="338"/>
      <c r="O1645" s="338" t="s">
        <v>417</v>
      </c>
      <c r="P1645" s="338" t="s">
        <v>417</v>
      </c>
    </row>
    <row r="1646" spans="2:16" x14ac:dyDescent="0.25">
      <c r="B1646" s="336" t="s">
        <v>416</v>
      </c>
      <c r="C1646" s="337">
        <v>40604</v>
      </c>
      <c r="D1646" s="338" t="s">
        <v>6100</v>
      </c>
      <c r="E1646" s="338" t="s">
        <v>6099</v>
      </c>
      <c r="F1646" s="338"/>
      <c r="G1646" s="338" t="s">
        <v>413</v>
      </c>
      <c r="H1646" s="338" t="s">
        <v>412</v>
      </c>
      <c r="I1646" s="338" t="s">
        <v>411</v>
      </c>
      <c r="J1646" s="339"/>
      <c r="K1646" s="339"/>
      <c r="L1646" s="339" t="s">
        <v>409</v>
      </c>
      <c r="M1646" s="339" t="s">
        <v>409</v>
      </c>
      <c r="N1646" s="338" t="s">
        <v>432</v>
      </c>
      <c r="O1646" s="338" t="s">
        <v>409</v>
      </c>
      <c r="P1646" s="338" t="s">
        <v>417</v>
      </c>
    </row>
    <row r="1647" spans="2:16" x14ac:dyDescent="0.25">
      <c r="B1647" s="336" t="s">
        <v>416</v>
      </c>
      <c r="C1647" s="337">
        <v>40604</v>
      </c>
      <c r="D1647" s="338" t="s">
        <v>6098</v>
      </c>
      <c r="E1647" s="338" t="s">
        <v>6097</v>
      </c>
      <c r="F1647" s="338" t="s">
        <v>6096</v>
      </c>
      <c r="G1647" s="338" t="s">
        <v>413</v>
      </c>
      <c r="H1647" s="338" t="s">
        <v>412</v>
      </c>
      <c r="I1647" s="338" t="s">
        <v>411</v>
      </c>
      <c r="J1647" s="339">
        <v>3.07931E-2</v>
      </c>
      <c r="K1647" s="339">
        <v>2.96515</v>
      </c>
      <c r="L1647" s="339">
        <v>0.46757100000000001</v>
      </c>
      <c r="M1647" s="339">
        <v>3.0018400000000001</v>
      </c>
      <c r="N1647" s="338" t="s">
        <v>417</v>
      </c>
      <c r="O1647" s="338" t="s">
        <v>408</v>
      </c>
      <c r="P1647" s="338" t="s">
        <v>408</v>
      </c>
    </row>
    <row r="1648" spans="2:16" x14ac:dyDescent="0.25">
      <c r="B1648" s="336" t="s">
        <v>416</v>
      </c>
      <c r="C1648" s="337">
        <v>40603</v>
      </c>
      <c r="D1648" s="338" t="s">
        <v>6095</v>
      </c>
      <c r="E1648" s="338" t="s">
        <v>6094</v>
      </c>
      <c r="F1648" s="338" t="s">
        <v>6093</v>
      </c>
      <c r="G1648" s="338" t="s">
        <v>413</v>
      </c>
      <c r="H1648" s="338" t="s">
        <v>425</v>
      </c>
      <c r="I1648" s="338" t="s">
        <v>411</v>
      </c>
      <c r="J1648" s="339"/>
      <c r="K1648" s="339"/>
      <c r="L1648" s="339"/>
      <c r="M1648" s="339"/>
      <c r="N1648" s="338"/>
      <c r="O1648" s="338" t="s">
        <v>432</v>
      </c>
      <c r="P1648" s="338" t="s">
        <v>432</v>
      </c>
    </row>
    <row r="1649" spans="2:16" x14ac:dyDescent="0.25">
      <c r="B1649" s="336" t="s">
        <v>416</v>
      </c>
      <c r="C1649" s="337">
        <v>40603</v>
      </c>
      <c r="D1649" s="338" t="s">
        <v>6092</v>
      </c>
      <c r="E1649" s="338" t="s">
        <v>6091</v>
      </c>
      <c r="F1649" s="338" t="s">
        <v>6090</v>
      </c>
      <c r="G1649" s="338" t="s">
        <v>413</v>
      </c>
      <c r="H1649" s="338" t="s">
        <v>412</v>
      </c>
      <c r="I1649" s="338" t="s">
        <v>411</v>
      </c>
      <c r="J1649" s="339"/>
      <c r="K1649" s="339"/>
      <c r="L1649" s="339">
        <v>1.04081</v>
      </c>
      <c r="M1649" s="339">
        <v>11.242100000000001</v>
      </c>
      <c r="N1649" s="338" t="s">
        <v>487</v>
      </c>
      <c r="O1649" s="338" t="s">
        <v>417</v>
      </c>
      <c r="P1649" s="338" t="s">
        <v>417</v>
      </c>
    </row>
    <row r="1650" spans="2:16" x14ac:dyDescent="0.25">
      <c r="B1650" s="336" t="s">
        <v>416</v>
      </c>
      <c r="C1650" s="337">
        <v>40603</v>
      </c>
      <c r="D1650" s="338" t="s">
        <v>6089</v>
      </c>
      <c r="E1650" s="338" t="s">
        <v>6088</v>
      </c>
      <c r="F1650" s="338" t="s">
        <v>2663</v>
      </c>
      <c r="G1650" s="338" t="s">
        <v>413</v>
      </c>
      <c r="H1650" s="338" t="s">
        <v>425</v>
      </c>
      <c r="I1650" s="338" t="s">
        <v>411</v>
      </c>
      <c r="J1650" s="339"/>
      <c r="K1650" s="339"/>
      <c r="L1650" s="339">
        <v>0.57962100000000005</v>
      </c>
      <c r="M1650" s="339">
        <v>5.40618</v>
      </c>
      <c r="N1650" s="338"/>
      <c r="O1650" s="338" t="s">
        <v>408</v>
      </c>
      <c r="P1650" s="338" t="s">
        <v>487</v>
      </c>
    </row>
    <row r="1651" spans="2:16" x14ac:dyDescent="0.25">
      <c r="B1651" s="336" t="s">
        <v>416</v>
      </c>
      <c r="C1651" s="337">
        <v>40603</v>
      </c>
      <c r="D1651" s="338" t="s">
        <v>6087</v>
      </c>
      <c r="E1651" s="338" t="s">
        <v>6086</v>
      </c>
      <c r="F1651" s="338" t="s">
        <v>6085</v>
      </c>
      <c r="G1651" s="338" t="s">
        <v>413</v>
      </c>
      <c r="H1651" s="338" t="s">
        <v>425</v>
      </c>
      <c r="I1651" s="338" t="s">
        <v>411</v>
      </c>
      <c r="J1651" s="339"/>
      <c r="K1651" s="339"/>
      <c r="L1651" s="339">
        <v>6.4772999999999996</v>
      </c>
      <c r="M1651" s="339">
        <v>27.2193</v>
      </c>
      <c r="N1651" s="338"/>
      <c r="O1651" s="338" t="s">
        <v>410</v>
      </c>
      <c r="P1651" s="338" t="s">
        <v>443</v>
      </c>
    </row>
    <row r="1652" spans="2:16" x14ac:dyDescent="0.25">
      <c r="B1652" s="336" t="s">
        <v>416</v>
      </c>
      <c r="C1652" s="337">
        <v>40603</v>
      </c>
      <c r="D1652" s="338" t="s">
        <v>6084</v>
      </c>
      <c r="E1652" s="338" t="s">
        <v>419</v>
      </c>
      <c r="F1652" s="338"/>
      <c r="G1652" s="338" t="s">
        <v>413</v>
      </c>
      <c r="H1652" s="338" t="s">
        <v>425</v>
      </c>
      <c r="I1652" s="338" t="s">
        <v>411</v>
      </c>
      <c r="J1652" s="339"/>
      <c r="K1652" s="339"/>
      <c r="L1652" s="339" t="s">
        <v>409</v>
      </c>
      <c r="M1652" s="339" t="s">
        <v>409</v>
      </c>
      <c r="N1652" s="338"/>
      <c r="O1652" s="338" t="s">
        <v>409</v>
      </c>
      <c r="P1652" s="338" t="s">
        <v>417</v>
      </c>
    </row>
    <row r="1653" spans="2:16" x14ac:dyDescent="0.25">
      <c r="B1653" s="336" t="s">
        <v>416</v>
      </c>
      <c r="C1653" s="337">
        <v>40603</v>
      </c>
      <c r="D1653" s="338" t="s">
        <v>1374</v>
      </c>
      <c r="E1653" s="338" t="s">
        <v>3616</v>
      </c>
      <c r="F1653" s="338" t="s">
        <v>1895</v>
      </c>
      <c r="G1653" s="338" t="s">
        <v>413</v>
      </c>
      <c r="H1653" s="338" t="s">
        <v>425</v>
      </c>
      <c r="I1653" s="338" t="s">
        <v>411</v>
      </c>
      <c r="J1653" s="339"/>
      <c r="K1653" s="339"/>
      <c r="L1653" s="339"/>
      <c r="M1653" s="339"/>
      <c r="N1653" s="338" t="s">
        <v>410</v>
      </c>
      <c r="O1653" s="338" t="s">
        <v>443</v>
      </c>
      <c r="P1653" s="338" t="s">
        <v>443</v>
      </c>
    </row>
    <row r="1654" spans="2:16" x14ac:dyDescent="0.25">
      <c r="B1654" s="336" t="s">
        <v>459</v>
      </c>
      <c r="C1654" s="337">
        <v>40602</v>
      </c>
      <c r="D1654" s="338" t="s">
        <v>6083</v>
      </c>
      <c r="E1654" s="338" t="s">
        <v>6083</v>
      </c>
      <c r="F1654" s="338" t="s">
        <v>980</v>
      </c>
      <c r="G1654" s="338">
        <v>37.700000000000003</v>
      </c>
      <c r="H1654" s="338" t="s">
        <v>425</v>
      </c>
      <c r="I1654" s="338" t="s">
        <v>411</v>
      </c>
      <c r="J1654" s="339">
        <v>1.96854</v>
      </c>
      <c r="K1654" s="339">
        <v>10.9253</v>
      </c>
      <c r="L1654" s="339">
        <v>0.87109899999999996</v>
      </c>
      <c r="M1654" s="339">
        <v>6.4264900000000003</v>
      </c>
      <c r="N1654" s="338" t="s">
        <v>432</v>
      </c>
      <c r="O1654" s="338" t="s">
        <v>417</v>
      </c>
      <c r="P1654" s="338" t="s">
        <v>432</v>
      </c>
    </row>
    <row r="1655" spans="2:16" x14ac:dyDescent="0.25">
      <c r="B1655" s="336" t="s">
        <v>416</v>
      </c>
      <c r="C1655" s="337">
        <v>40602</v>
      </c>
      <c r="D1655" s="338" t="s">
        <v>6082</v>
      </c>
      <c r="E1655" s="338" t="s">
        <v>716</v>
      </c>
      <c r="F1655" s="338"/>
      <c r="G1655" s="338" t="s">
        <v>413</v>
      </c>
      <c r="H1655" s="338" t="s">
        <v>412</v>
      </c>
      <c r="I1655" s="338" t="s">
        <v>411</v>
      </c>
      <c r="J1655" s="339"/>
      <c r="K1655" s="339"/>
      <c r="L1655" s="339" t="s">
        <v>409</v>
      </c>
      <c r="M1655" s="339" t="s">
        <v>409</v>
      </c>
      <c r="N1655" s="338" t="s">
        <v>410</v>
      </c>
      <c r="O1655" s="338" t="s">
        <v>409</v>
      </c>
      <c r="P1655" s="338" t="s">
        <v>443</v>
      </c>
    </row>
    <row r="1656" spans="2:16" x14ac:dyDescent="0.25">
      <c r="B1656" s="336" t="s">
        <v>416</v>
      </c>
      <c r="C1656" s="337">
        <v>40599</v>
      </c>
      <c r="D1656" s="338" t="s">
        <v>6081</v>
      </c>
      <c r="E1656" s="338" t="s">
        <v>6028</v>
      </c>
      <c r="F1656" s="338"/>
      <c r="G1656" s="338" t="s">
        <v>413</v>
      </c>
      <c r="H1656" s="338" t="s">
        <v>412</v>
      </c>
      <c r="I1656" s="338" t="s">
        <v>411</v>
      </c>
      <c r="J1656" s="339"/>
      <c r="K1656" s="339"/>
      <c r="L1656" s="339" t="s">
        <v>409</v>
      </c>
      <c r="M1656" s="339" t="s">
        <v>409</v>
      </c>
      <c r="N1656" s="338" t="s">
        <v>605</v>
      </c>
      <c r="O1656" s="338" t="s">
        <v>409</v>
      </c>
      <c r="P1656" s="338" t="s">
        <v>417</v>
      </c>
    </row>
    <row r="1657" spans="2:16" x14ac:dyDescent="0.25">
      <c r="B1657" s="336" t="s">
        <v>541</v>
      </c>
      <c r="C1657" s="337">
        <v>40598</v>
      </c>
      <c r="D1657" s="338" t="s">
        <v>6080</v>
      </c>
      <c r="E1657" s="338" t="s">
        <v>539</v>
      </c>
      <c r="F1657" s="338" t="s">
        <v>6079</v>
      </c>
      <c r="G1657" s="338">
        <v>265.67</v>
      </c>
      <c r="H1657" s="338"/>
      <c r="I1657" s="338" t="s">
        <v>411</v>
      </c>
      <c r="J1657" s="339">
        <v>2.5384600000000002</v>
      </c>
      <c r="K1657" s="339">
        <v>20.725999999999999</v>
      </c>
      <c r="L1657" s="339">
        <v>0.43490899999999999</v>
      </c>
      <c r="M1657" s="339">
        <v>14.064399999999999</v>
      </c>
      <c r="N1657" s="338" t="s">
        <v>417</v>
      </c>
      <c r="O1657" s="338" t="s">
        <v>417</v>
      </c>
      <c r="P1657" s="338" t="s">
        <v>409</v>
      </c>
    </row>
    <row r="1658" spans="2:16" x14ac:dyDescent="0.25">
      <c r="B1658" s="336" t="s">
        <v>416</v>
      </c>
      <c r="C1658" s="337">
        <v>40598</v>
      </c>
      <c r="D1658" s="338" t="s">
        <v>3488</v>
      </c>
      <c r="E1658" s="338" t="s">
        <v>477</v>
      </c>
      <c r="F1658" s="338" t="s">
        <v>6078</v>
      </c>
      <c r="G1658" s="338">
        <v>4.7</v>
      </c>
      <c r="H1658" s="338" t="s">
        <v>425</v>
      </c>
      <c r="I1658" s="338" t="s">
        <v>411</v>
      </c>
      <c r="J1658" s="339"/>
      <c r="K1658" s="339"/>
      <c r="L1658" s="339"/>
      <c r="M1658" s="339"/>
      <c r="N1658" s="338"/>
      <c r="O1658" s="338" t="s">
        <v>417</v>
      </c>
      <c r="P1658" s="338" t="s">
        <v>417</v>
      </c>
    </row>
    <row r="1659" spans="2:16" x14ac:dyDescent="0.25">
      <c r="B1659" s="336" t="s">
        <v>416</v>
      </c>
      <c r="C1659" s="337">
        <v>40597</v>
      </c>
      <c r="D1659" s="338" t="s">
        <v>6077</v>
      </c>
      <c r="E1659" s="338" t="s">
        <v>6076</v>
      </c>
      <c r="F1659" s="338"/>
      <c r="G1659" s="338" t="s">
        <v>413</v>
      </c>
      <c r="H1659" s="338" t="s">
        <v>425</v>
      </c>
      <c r="I1659" s="338" t="s">
        <v>411</v>
      </c>
      <c r="J1659" s="339"/>
      <c r="K1659" s="339"/>
      <c r="L1659" s="339" t="s">
        <v>409</v>
      </c>
      <c r="M1659" s="339" t="s">
        <v>409</v>
      </c>
      <c r="N1659" s="338" t="s">
        <v>432</v>
      </c>
      <c r="O1659" s="338" t="s">
        <v>409</v>
      </c>
      <c r="P1659" s="338" t="s">
        <v>417</v>
      </c>
    </row>
    <row r="1660" spans="2:16" x14ac:dyDescent="0.25">
      <c r="B1660" s="336" t="s">
        <v>416</v>
      </c>
      <c r="C1660" s="337">
        <v>40597</v>
      </c>
      <c r="D1660" s="338" t="s">
        <v>6075</v>
      </c>
      <c r="E1660" s="338" t="s">
        <v>5709</v>
      </c>
      <c r="F1660" s="338"/>
      <c r="G1660" s="338" t="s">
        <v>413</v>
      </c>
      <c r="H1660" s="338" t="s">
        <v>412</v>
      </c>
      <c r="I1660" s="338" t="s">
        <v>411</v>
      </c>
      <c r="J1660" s="339"/>
      <c r="K1660" s="339"/>
      <c r="L1660" s="339" t="s">
        <v>409</v>
      </c>
      <c r="M1660" s="339" t="s">
        <v>409</v>
      </c>
      <c r="N1660" s="338" t="s">
        <v>410</v>
      </c>
      <c r="O1660" s="338" t="s">
        <v>409</v>
      </c>
      <c r="P1660" s="338" t="s">
        <v>410</v>
      </c>
    </row>
    <row r="1661" spans="2:16" x14ac:dyDescent="0.25">
      <c r="B1661" s="336" t="s">
        <v>416</v>
      </c>
      <c r="C1661" s="337">
        <v>40596</v>
      </c>
      <c r="D1661" s="338" t="s">
        <v>1037</v>
      </c>
      <c r="E1661" s="338" t="s">
        <v>1036</v>
      </c>
      <c r="F1661" s="338" t="s">
        <v>6074</v>
      </c>
      <c r="G1661" s="338">
        <v>2.2999999999999998</v>
      </c>
      <c r="H1661" s="338" t="s">
        <v>425</v>
      </c>
      <c r="I1661" s="338" t="s">
        <v>411</v>
      </c>
      <c r="J1661" s="339">
        <v>0.13336500000000001</v>
      </c>
      <c r="K1661" s="339"/>
      <c r="L1661" s="339">
        <v>0.34747299999999998</v>
      </c>
      <c r="M1661" s="339">
        <v>13.444599999999999</v>
      </c>
      <c r="N1661" s="338" t="s">
        <v>432</v>
      </c>
      <c r="O1661" s="338" t="s">
        <v>410</v>
      </c>
      <c r="P1661" s="338" t="s">
        <v>417</v>
      </c>
    </row>
    <row r="1662" spans="2:16" x14ac:dyDescent="0.25">
      <c r="B1662" s="336" t="s">
        <v>416</v>
      </c>
      <c r="C1662" s="337">
        <v>40592</v>
      </c>
      <c r="D1662" s="338" t="s">
        <v>6073</v>
      </c>
      <c r="E1662" s="338" t="s">
        <v>6072</v>
      </c>
      <c r="F1662" s="338"/>
      <c r="G1662" s="338" t="s">
        <v>413</v>
      </c>
      <c r="H1662" s="338" t="s">
        <v>412</v>
      </c>
      <c r="I1662" s="338" t="s">
        <v>411</v>
      </c>
      <c r="J1662" s="339"/>
      <c r="K1662" s="339"/>
      <c r="L1662" s="339" t="s">
        <v>409</v>
      </c>
      <c r="M1662" s="339" t="s">
        <v>409</v>
      </c>
      <c r="N1662" s="338" t="s">
        <v>417</v>
      </c>
      <c r="O1662" s="338" t="s">
        <v>409</v>
      </c>
      <c r="P1662" s="338" t="s">
        <v>417</v>
      </c>
    </row>
    <row r="1663" spans="2:16" x14ac:dyDescent="0.25">
      <c r="B1663" s="336" t="s">
        <v>416</v>
      </c>
      <c r="C1663" s="337">
        <v>40592</v>
      </c>
      <c r="D1663" s="338" t="s">
        <v>6071</v>
      </c>
      <c r="E1663" s="338" t="s">
        <v>1028</v>
      </c>
      <c r="F1663" s="338"/>
      <c r="G1663" s="338">
        <v>145</v>
      </c>
      <c r="H1663" s="338" t="s">
        <v>425</v>
      </c>
      <c r="I1663" s="338" t="s">
        <v>411</v>
      </c>
      <c r="J1663" s="339"/>
      <c r="K1663" s="339"/>
      <c r="L1663" s="339" t="s">
        <v>409</v>
      </c>
      <c r="M1663" s="339" t="s">
        <v>409</v>
      </c>
      <c r="N1663" s="338" t="s">
        <v>417</v>
      </c>
      <c r="O1663" s="338" t="s">
        <v>409</v>
      </c>
      <c r="P1663" s="338" t="s">
        <v>417</v>
      </c>
    </row>
    <row r="1664" spans="2:16" x14ac:dyDescent="0.25">
      <c r="B1664" s="336" t="s">
        <v>416</v>
      </c>
      <c r="C1664" s="337">
        <v>40591</v>
      </c>
      <c r="D1664" s="338" t="s">
        <v>6070</v>
      </c>
      <c r="E1664" s="338" t="s">
        <v>6069</v>
      </c>
      <c r="F1664" s="338"/>
      <c r="G1664" s="338" t="s">
        <v>413</v>
      </c>
      <c r="H1664" s="338" t="s">
        <v>412</v>
      </c>
      <c r="I1664" s="338" t="s">
        <v>411</v>
      </c>
      <c r="J1664" s="339"/>
      <c r="K1664" s="339"/>
      <c r="L1664" s="339" t="s">
        <v>409</v>
      </c>
      <c r="M1664" s="339" t="s">
        <v>409</v>
      </c>
      <c r="N1664" s="338" t="s">
        <v>487</v>
      </c>
      <c r="O1664" s="338" t="s">
        <v>409</v>
      </c>
      <c r="P1664" s="338" t="s">
        <v>543</v>
      </c>
    </row>
    <row r="1665" spans="2:16" x14ac:dyDescent="0.25">
      <c r="B1665" s="336" t="s">
        <v>416</v>
      </c>
      <c r="C1665" s="337">
        <v>40591</v>
      </c>
      <c r="D1665" s="338" t="s">
        <v>6068</v>
      </c>
      <c r="E1665" s="338" t="s">
        <v>3642</v>
      </c>
      <c r="F1665" s="338"/>
      <c r="G1665" s="338" t="s">
        <v>413</v>
      </c>
      <c r="H1665" s="338" t="s">
        <v>425</v>
      </c>
      <c r="I1665" s="338" t="s">
        <v>411</v>
      </c>
      <c r="J1665" s="339"/>
      <c r="K1665" s="339"/>
      <c r="L1665" s="339" t="s">
        <v>409</v>
      </c>
      <c r="M1665" s="339" t="s">
        <v>409</v>
      </c>
      <c r="N1665" s="338" t="s">
        <v>417</v>
      </c>
      <c r="O1665" s="338" t="s">
        <v>409</v>
      </c>
      <c r="P1665" s="338" t="s">
        <v>443</v>
      </c>
    </row>
    <row r="1666" spans="2:16" x14ac:dyDescent="0.25">
      <c r="B1666" s="336" t="s">
        <v>416</v>
      </c>
      <c r="C1666" s="337">
        <v>40591</v>
      </c>
      <c r="D1666" s="338" t="s">
        <v>5654</v>
      </c>
      <c r="E1666" s="338" t="s">
        <v>1496</v>
      </c>
      <c r="F1666" s="338"/>
      <c r="G1666" s="338">
        <v>180</v>
      </c>
      <c r="H1666" s="338" t="s">
        <v>336</v>
      </c>
      <c r="I1666" s="338" t="s">
        <v>411</v>
      </c>
      <c r="J1666" s="339"/>
      <c r="K1666" s="339"/>
      <c r="L1666" s="339" t="s">
        <v>409</v>
      </c>
      <c r="M1666" s="339" t="s">
        <v>409</v>
      </c>
      <c r="N1666" s="338" t="s">
        <v>417</v>
      </c>
      <c r="O1666" s="338" t="s">
        <v>409</v>
      </c>
      <c r="P1666" s="338" t="s">
        <v>417</v>
      </c>
    </row>
    <row r="1667" spans="2:16" x14ac:dyDescent="0.25">
      <c r="B1667" s="336" t="s">
        <v>416</v>
      </c>
      <c r="C1667" s="337">
        <v>40591</v>
      </c>
      <c r="D1667" s="338" t="s">
        <v>6067</v>
      </c>
      <c r="E1667" s="338" t="s">
        <v>2500</v>
      </c>
      <c r="F1667" s="338"/>
      <c r="G1667" s="338" t="s">
        <v>413</v>
      </c>
      <c r="H1667" s="338" t="s">
        <v>425</v>
      </c>
      <c r="I1667" s="338" t="s">
        <v>411</v>
      </c>
      <c r="J1667" s="339"/>
      <c r="K1667" s="339"/>
      <c r="L1667" s="339" t="s">
        <v>409</v>
      </c>
      <c r="M1667" s="339" t="s">
        <v>409</v>
      </c>
      <c r="N1667" s="338" t="s">
        <v>410</v>
      </c>
      <c r="O1667" s="338" t="s">
        <v>409</v>
      </c>
      <c r="P1667" s="338" t="s">
        <v>443</v>
      </c>
    </row>
    <row r="1668" spans="2:16" x14ac:dyDescent="0.25">
      <c r="B1668" s="336" t="s">
        <v>416</v>
      </c>
      <c r="C1668" s="337">
        <v>40589</v>
      </c>
      <c r="D1668" s="338" t="s">
        <v>6066</v>
      </c>
      <c r="E1668" s="338" t="s">
        <v>5709</v>
      </c>
      <c r="F1668" s="338"/>
      <c r="G1668" s="338" t="s">
        <v>413</v>
      </c>
      <c r="H1668" s="338" t="s">
        <v>412</v>
      </c>
      <c r="I1668" s="338" t="s">
        <v>411</v>
      </c>
      <c r="J1668" s="339"/>
      <c r="K1668" s="339"/>
      <c r="L1668" s="339" t="s">
        <v>409</v>
      </c>
      <c r="M1668" s="339" t="s">
        <v>409</v>
      </c>
      <c r="N1668" s="338" t="s">
        <v>410</v>
      </c>
      <c r="O1668" s="338" t="s">
        <v>409</v>
      </c>
      <c r="P1668" s="338" t="s">
        <v>410</v>
      </c>
    </row>
    <row r="1669" spans="2:16" x14ac:dyDescent="0.25">
      <c r="B1669" s="336" t="s">
        <v>416</v>
      </c>
      <c r="C1669" s="337">
        <v>40589</v>
      </c>
      <c r="D1669" s="338" t="s">
        <v>956</v>
      </c>
      <c r="E1669" s="338" t="s">
        <v>4805</v>
      </c>
      <c r="F1669" s="338" t="s">
        <v>6065</v>
      </c>
      <c r="G1669" s="338" t="s">
        <v>413</v>
      </c>
      <c r="H1669" s="338" t="s">
        <v>425</v>
      </c>
      <c r="I1669" s="338" t="s">
        <v>411</v>
      </c>
      <c r="J1669" s="339"/>
      <c r="K1669" s="339"/>
      <c r="L1669" s="339"/>
      <c r="M1669" s="339"/>
      <c r="N1669" s="338"/>
      <c r="O1669" s="338" t="s">
        <v>410</v>
      </c>
      <c r="P1669" s="338" t="s">
        <v>410</v>
      </c>
    </row>
    <row r="1670" spans="2:16" x14ac:dyDescent="0.25">
      <c r="B1670" s="336" t="s">
        <v>416</v>
      </c>
      <c r="C1670" s="337">
        <v>40588</v>
      </c>
      <c r="D1670" s="338" t="s">
        <v>6064</v>
      </c>
      <c r="E1670" s="338" t="s">
        <v>6063</v>
      </c>
      <c r="F1670" s="338"/>
      <c r="G1670" s="338">
        <v>21.74</v>
      </c>
      <c r="H1670" s="338" t="s">
        <v>336</v>
      </c>
      <c r="I1670" s="338" t="s">
        <v>411</v>
      </c>
      <c r="J1670" s="339"/>
      <c r="K1670" s="339"/>
      <c r="L1670" s="339" t="s">
        <v>409</v>
      </c>
      <c r="M1670" s="339" t="s">
        <v>409</v>
      </c>
      <c r="N1670" s="338" t="s">
        <v>417</v>
      </c>
      <c r="O1670" s="338" t="s">
        <v>409</v>
      </c>
      <c r="P1670" s="338" t="s">
        <v>417</v>
      </c>
    </row>
    <row r="1671" spans="2:16" x14ac:dyDescent="0.25">
      <c r="B1671" s="336" t="s">
        <v>541</v>
      </c>
      <c r="C1671" s="337">
        <v>40588</v>
      </c>
      <c r="D1671" s="338" t="s">
        <v>3526</v>
      </c>
      <c r="E1671" s="338" t="s">
        <v>539</v>
      </c>
      <c r="F1671" s="338" t="s">
        <v>4750</v>
      </c>
      <c r="G1671" s="338" t="s">
        <v>413</v>
      </c>
      <c r="H1671" s="338"/>
      <c r="I1671" s="338" t="s">
        <v>1243</v>
      </c>
      <c r="J1671" s="339">
        <v>0.74605500000000002</v>
      </c>
      <c r="K1671" s="339"/>
      <c r="L1671" s="339"/>
      <c r="M1671" s="339"/>
      <c r="N1671" s="338" t="s">
        <v>443</v>
      </c>
      <c r="O1671" s="338" t="s">
        <v>410</v>
      </c>
      <c r="P1671" s="338" t="s">
        <v>409</v>
      </c>
    </row>
    <row r="1672" spans="2:16" x14ac:dyDescent="0.25">
      <c r="B1672" s="336" t="s">
        <v>416</v>
      </c>
      <c r="C1672" s="337">
        <v>40588</v>
      </c>
      <c r="D1672" s="338" t="s">
        <v>6062</v>
      </c>
      <c r="E1672" s="338" t="s">
        <v>6061</v>
      </c>
      <c r="F1672" s="338"/>
      <c r="G1672" s="338" t="s">
        <v>413</v>
      </c>
      <c r="H1672" s="338" t="s">
        <v>425</v>
      </c>
      <c r="I1672" s="338" t="s">
        <v>411</v>
      </c>
      <c r="J1672" s="339"/>
      <c r="K1672" s="339"/>
      <c r="L1672" s="339" t="s">
        <v>409</v>
      </c>
      <c r="M1672" s="339" t="s">
        <v>409</v>
      </c>
      <c r="N1672" s="338"/>
      <c r="O1672" s="338" t="s">
        <v>409</v>
      </c>
      <c r="P1672" s="338" t="s">
        <v>417</v>
      </c>
    </row>
    <row r="1673" spans="2:16" x14ac:dyDescent="0.25">
      <c r="B1673" s="336" t="s">
        <v>541</v>
      </c>
      <c r="C1673" s="337">
        <v>40588</v>
      </c>
      <c r="D1673" s="338" t="s">
        <v>1633</v>
      </c>
      <c r="E1673" s="338" t="s">
        <v>539</v>
      </c>
      <c r="F1673" s="338" t="s">
        <v>4750</v>
      </c>
      <c r="G1673" s="338" t="s">
        <v>413</v>
      </c>
      <c r="H1673" s="338"/>
      <c r="I1673" s="338" t="s">
        <v>1243</v>
      </c>
      <c r="J1673" s="339">
        <v>9.4700000000000006</v>
      </c>
      <c r="K1673" s="339"/>
      <c r="L1673" s="339"/>
      <c r="M1673" s="339"/>
      <c r="N1673" s="338" t="s">
        <v>410</v>
      </c>
      <c r="O1673" s="338" t="s">
        <v>410</v>
      </c>
      <c r="P1673" s="338" t="s">
        <v>409</v>
      </c>
    </row>
    <row r="1674" spans="2:16" x14ac:dyDescent="0.25">
      <c r="B1674" s="336" t="s">
        <v>416</v>
      </c>
      <c r="C1674" s="337">
        <v>40588</v>
      </c>
      <c r="D1674" s="338" t="s">
        <v>2820</v>
      </c>
      <c r="E1674" s="338" t="s">
        <v>423</v>
      </c>
      <c r="F1674" s="338" t="s">
        <v>4850</v>
      </c>
      <c r="G1674" s="338" t="s">
        <v>413</v>
      </c>
      <c r="H1674" s="338" t="s">
        <v>425</v>
      </c>
      <c r="I1674" s="338" t="s">
        <v>411</v>
      </c>
      <c r="J1674" s="339"/>
      <c r="K1674" s="339"/>
      <c r="L1674" s="339">
        <v>0.31137500000000001</v>
      </c>
      <c r="M1674" s="339">
        <v>3.2600099999999999</v>
      </c>
      <c r="N1674" s="338" t="s">
        <v>417</v>
      </c>
      <c r="O1674" s="338" t="s">
        <v>487</v>
      </c>
      <c r="P1674" s="338"/>
    </row>
    <row r="1675" spans="2:16" x14ac:dyDescent="0.25">
      <c r="B1675" s="336" t="s">
        <v>416</v>
      </c>
      <c r="C1675" s="337">
        <v>40588</v>
      </c>
      <c r="D1675" s="338" t="s">
        <v>6060</v>
      </c>
      <c r="E1675" s="338" t="s">
        <v>916</v>
      </c>
      <c r="F1675" s="338" t="s">
        <v>4835</v>
      </c>
      <c r="G1675" s="338">
        <v>38</v>
      </c>
      <c r="H1675" s="338" t="s">
        <v>425</v>
      </c>
      <c r="I1675" s="338" t="s">
        <v>411</v>
      </c>
      <c r="J1675" s="339"/>
      <c r="K1675" s="339"/>
      <c r="L1675" s="339"/>
      <c r="M1675" s="339"/>
      <c r="N1675" s="338"/>
      <c r="O1675" s="338" t="s">
        <v>417</v>
      </c>
      <c r="P1675" s="338" t="s">
        <v>417</v>
      </c>
    </row>
    <row r="1676" spans="2:16" x14ac:dyDescent="0.25">
      <c r="B1676" s="336" t="s">
        <v>416</v>
      </c>
      <c r="C1676" s="337">
        <v>40584</v>
      </c>
      <c r="D1676" s="338" t="s">
        <v>5688</v>
      </c>
      <c r="E1676" s="338" t="s">
        <v>5687</v>
      </c>
      <c r="F1676" s="338"/>
      <c r="G1676" s="338" t="s">
        <v>413</v>
      </c>
      <c r="H1676" s="338" t="s">
        <v>425</v>
      </c>
      <c r="I1676" s="338" t="s">
        <v>411</v>
      </c>
      <c r="J1676" s="339"/>
      <c r="K1676" s="339"/>
      <c r="L1676" s="339" t="s">
        <v>409</v>
      </c>
      <c r="M1676" s="339" t="s">
        <v>409</v>
      </c>
      <c r="N1676" s="338" t="s">
        <v>410</v>
      </c>
      <c r="O1676" s="338" t="s">
        <v>409</v>
      </c>
      <c r="P1676" s="338" t="s">
        <v>410</v>
      </c>
    </row>
    <row r="1677" spans="2:16" x14ac:dyDescent="0.25">
      <c r="B1677" s="336" t="s">
        <v>1441</v>
      </c>
      <c r="C1677" s="337">
        <v>40583</v>
      </c>
      <c r="D1677" s="338" t="s">
        <v>6059</v>
      </c>
      <c r="E1677" s="338" t="s">
        <v>6058</v>
      </c>
      <c r="F1677" s="338"/>
      <c r="G1677" s="338" t="s">
        <v>413</v>
      </c>
      <c r="H1677" s="338" t="s">
        <v>412</v>
      </c>
      <c r="I1677" s="338" t="s">
        <v>1243</v>
      </c>
      <c r="J1677" s="339"/>
      <c r="K1677" s="339"/>
      <c r="L1677" s="339" t="s">
        <v>409</v>
      </c>
      <c r="M1677" s="339" t="s">
        <v>409</v>
      </c>
      <c r="N1677" s="338" t="s">
        <v>417</v>
      </c>
      <c r="O1677" s="338" t="s">
        <v>409</v>
      </c>
      <c r="P1677" s="338" t="s">
        <v>417</v>
      </c>
    </row>
    <row r="1678" spans="2:16" x14ac:dyDescent="0.25">
      <c r="B1678" s="336" t="s">
        <v>459</v>
      </c>
      <c r="C1678" s="337">
        <v>40583</v>
      </c>
      <c r="D1678" s="338" t="s">
        <v>5155</v>
      </c>
      <c r="E1678" s="338" t="s">
        <v>5155</v>
      </c>
      <c r="F1678" s="338" t="s">
        <v>5154</v>
      </c>
      <c r="G1678" s="338" t="s">
        <v>413</v>
      </c>
      <c r="H1678" s="338" t="s">
        <v>425</v>
      </c>
      <c r="I1678" s="338" t="s">
        <v>411</v>
      </c>
      <c r="J1678" s="339">
        <v>0.57733599999999996</v>
      </c>
      <c r="K1678" s="339">
        <v>7.4285699999999997</v>
      </c>
      <c r="L1678" s="339"/>
      <c r="M1678" s="339"/>
      <c r="N1678" s="338" t="s">
        <v>417</v>
      </c>
      <c r="O1678" s="338" t="s">
        <v>410</v>
      </c>
      <c r="P1678" s="338" t="s">
        <v>417</v>
      </c>
    </row>
    <row r="1679" spans="2:16" x14ac:dyDescent="0.25">
      <c r="B1679" s="336" t="s">
        <v>416</v>
      </c>
      <c r="C1679" s="337">
        <v>40583</v>
      </c>
      <c r="D1679" s="338" t="s">
        <v>6057</v>
      </c>
      <c r="E1679" s="338" t="s">
        <v>6056</v>
      </c>
      <c r="F1679" s="338" t="s">
        <v>1777</v>
      </c>
      <c r="G1679" s="338">
        <v>150</v>
      </c>
      <c r="H1679" s="338" t="s">
        <v>425</v>
      </c>
      <c r="I1679" s="338" t="s">
        <v>411</v>
      </c>
      <c r="J1679" s="339"/>
      <c r="K1679" s="339"/>
      <c r="L1679" s="339"/>
      <c r="M1679" s="339"/>
      <c r="N1679" s="338" t="s">
        <v>417</v>
      </c>
      <c r="O1679" s="338" t="s">
        <v>417</v>
      </c>
      <c r="P1679" s="338" t="s">
        <v>443</v>
      </c>
    </row>
    <row r="1680" spans="2:16" x14ac:dyDescent="0.25">
      <c r="B1680" s="336" t="s">
        <v>459</v>
      </c>
      <c r="C1680" s="337">
        <v>40583</v>
      </c>
      <c r="D1680" s="338" t="s">
        <v>5155</v>
      </c>
      <c r="E1680" s="338" t="s">
        <v>6055</v>
      </c>
      <c r="F1680" s="338"/>
      <c r="G1680" s="338">
        <v>9</v>
      </c>
      <c r="H1680" s="338" t="s">
        <v>425</v>
      </c>
      <c r="I1680" s="338" t="s">
        <v>411</v>
      </c>
      <c r="J1680" s="339">
        <v>0.57733599999999996</v>
      </c>
      <c r="K1680" s="339">
        <v>7.4285699999999997</v>
      </c>
      <c r="L1680" s="339" t="s">
        <v>409</v>
      </c>
      <c r="M1680" s="339" t="s">
        <v>409</v>
      </c>
      <c r="N1680" s="338" t="s">
        <v>417</v>
      </c>
      <c r="O1680" s="338" t="s">
        <v>409</v>
      </c>
      <c r="P1680" s="338" t="s">
        <v>443</v>
      </c>
    </row>
    <row r="1681" spans="2:16" x14ac:dyDescent="0.25">
      <c r="B1681" s="336" t="s">
        <v>459</v>
      </c>
      <c r="C1681" s="337">
        <v>40582</v>
      </c>
      <c r="D1681" s="338" t="s">
        <v>6054</v>
      </c>
      <c r="E1681" s="338" t="s">
        <v>1183</v>
      </c>
      <c r="F1681" s="338"/>
      <c r="G1681" s="338" t="s">
        <v>413</v>
      </c>
      <c r="H1681" s="338" t="s">
        <v>425</v>
      </c>
      <c r="I1681" s="338" t="s">
        <v>411</v>
      </c>
      <c r="J1681" s="339"/>
      <c r="K1681" s="339"/>
      <c r="L1681" s="339" t="s">
        <v>409</v>
      </c>
      <c r="M1681" s="339" t="s">
        <v>409</v>
      </c>
      <c r="N1681" s="338" t="s">
        <v>417</v>
      </c>
      <c r="O1681" s="338" t="s">
        <v>409</v>
      </c>
      <c r="P1681" s="338" t="s">
        <v>443</v>
      </c>
    </row>
    <row r="1682" spans="2:16" x14ac:dyDescent="0.25">
      <c r="B1682" s="336" t="s">
        <v>416</v>
      </c>
      <c r="C1682" s="337">
        <v>40582</v>
      </c>
      <c r="D1682" s="338" t="s">
        <v>4060</v>
      </c>
      <c r="E1682" s="338" t="s">
        <v>6053</v>
      </c>
      <c r="F1682" s="338"/>
      <c r="G1682" s="338">
        <v>442.46</v>
      </c>
      <c r="H1682" s="338" t="s">
        <v>336</v>
      </c>
      <c r="I1682" s="338" t="s">
        <v>411</v>
      </c>
      <c r="J1682" s="339">
        <v>0.43315599999999999</v>
      </c>
      <c r="K1682" s="339">
        <v>3.6236999999999999</v>
      </c>
      <c r="L1682" s="339" t="s">
        <v>409</v>
      </c>
      <c r="M1682" s="339" t="s">
        <v>409</v>
      </c>
      <c r="N1682" s="338" t="s">
        <v>417</v>
      </c>
      <c r="O1682" s="338" t="s">
        <v>409</v>
      </c>
      <c r="P1682" s="338" t="s">
        <v>417</v>
      </c>
    </row>
    <row r="1683" spans="2:16" x14ac:dyDescent="0.25">
      <c r="B1683" s="336" t="s">
        <v>416</v>
      </c>
      <c r="C1683" s="337">
        <v>40577</v>
      </c>
      <c r="D1683" s="338" t="s">
        <v>2136</v>
      </c>
      <c r="E1683" s="338" t="s">
        <v>3210</v>
      </c>
      <c r="F1683" s="338"/>
      <c r="G1683" s="338">
        <v>499.67</v>
      </c>
      <c r="H1683" s="338" t="s">
        <v>425</v>
      </c>
      <c r="I1683" s="338" t="s">
        <v>411</v>
      </c>
      <c r="J1683" s="339">
        <v>2.99071</v>
      </c>
      <c r="K1683" s="339"/>
      <c r="L1683" s="339" t="s">
        <v>409</v>
      </c>
      <c r="M1683" s="339" t="s">
        <v>409</v>
      </c>
      <c r="N1683" s="338" t="s">
        <v>417</v>
      </c>
      <c r="O1683" s="338" t="s">
        <v>409</v>
      </c>
      <c r="P1683" s="338" t="s">
        <v>443</v>
      </c>
    </row>
    <row r="1684" spans="2:16" x14ac:dyDescent="0.25">
      <c r="B1684" s="336" t="s">
        <v>1441</v>
      </c>
      <c r="C1684" s="337">
        <v>40577</v>
      </c>
      <c r="D1684" s="338" t="s">
        <v>6052</v>
      </c>
      <c r="E1684" s="338" t="s">
        <v>6051</v>
      </c>
      <c r="F1684" s="338"/>
      <c r="G1684" s="338" t="s">
        <v>413</v>
      </c>
      <c r="H1684" s="338" t="s">
        <v>412</v>
      </c>
      <c r="I1684" s="338" t="s">
        <v>411</v>
      </c>
      <c r="J1684" s="339"/>
      <c r="K1684" s="339"/>
      <c r="L1684" s="339" t="s">
        <v>409</v>
      </c>
      <c r="M1684" s="339" t="s">
        <v>409</v>
      </c>
      <c r="N1684" s="338" t="s">
        <v>432</v>
      </c>
      <c r="O1684" s="338" t="s">
        <v>409</v>
      </c>
      <c r="P1684" s="338" t="s">
        <v>417</v>
      </c>
    </row>
    <row r="1685" spans="2:16" x14ac:dyDescent="0.25">
      <c r="B1685" s="336" t="s">
        <v>416</v>
      </c>
      <c r="C1685" s="337">
        <v>40577</v>
      </c>
      <c r="D1685" s="338" t="s">
        <v>6050</v>
      </c>
      <c r="E1685" s="338" t="s">
        <v>6049</v>
      </c>
      <c r="F1685" s="338"/>
      <c r="G1685" s="338" t="s">
        <v>413</v>
      </c>
      <c r="H1685" s="338" t="s">
        <v>425</v>
      </c>
      <c r="I1685" s="338" t="s">
        <v>411</v>
      </c>
      <c r="J1685" s="339"/>
      <c r="K1685" s="339"/>
      <c r="L1685" s="339" t="s">
        <v>409</v>
      </c>
      <c r="M1685" s="339" t="s">
        <v>409</v>
      </c>
      <c r="N1685" s="338"/>
      <c r="O1685" s="338" t="s">
        <v>409</v>
      </c>
      <c r="P1685" s="338"/>
    </row>
    <row r="1686" spans="2:16" x14ac:dyDescent="0.25">
      <c r="B1686" s="336" t="s">
        <v>416</v>
      </c>
      <c r="C1686" s="337">
        <v>40576</v>
      </c>
      <c r="D1686" s="338" t="s">
        <v>6048</v>
      </c>
      <c r="E1686" s="338" t="s">
        <v>4408</v>
      </c>
      <c r="F1686" s="338" t="s">
        <v>5440</v>
      </c>
      <c r="G1686" s="338" t="s">
        <v>413</v>
      </c>
      <c r="H1686" s="338" t="s">
        <v>425</v>
      </c>
      <c r="I1686" s="338" t="s">
        <v>411</v>
      </c>
      <c r="J1686" s="339"/>
      <c r="K1686" s="339"/>
      <c r="L1686" s="339">
        <v>0.63850899999999999</v>
      </c>
      <c r="M1686" s="339">
        <v>8.5047599999999992</v>
      </c>
      <c r="N1686" s="338"/>
      <c r="O1686" s="338" t="s">
        <v>417</v>
      </c>
      <c r="P1686" s="338" t="s">
        <v>417</v>
      </c>
    </row>
    <row r="1687" spans="2:16" x14ac:dyDescent="0.25">
      <c r="B1687" s="336" t="s">
        <v>416</v>
      </c>
      <c r="C1687" s="337">
        <v>40576</v>
      </c>
      <c r="D1687" s="338" t="s">
        <v>3488</v>
      </c>
      <c r="E1687" s="338" t="s">
        <v>6047</v>
      </c>
      <c r="F1687" s="338" t="s">
        <v>6046</v>
      </c>
      <c r="G1687" s="338">
        <v>3.85</v>
      </c>
      <c r="H1687" s="338" t="s">
        <v>425</v>
      </c>
      <c r="I1687" s="338" t="s">
        <v>411</v>
      </c>
      <c r="J1687" s="339"/>
      <c r="K1687" s="339"/>
      <c r="L1687" s="339"/>
      <c r="M1687" s="339"/>
      <c r="N1687" s="338"/>
      <c r="O1687" s="338" t="s">
        <v>443</v>
      </c>
      <c r="P1687" s="338" t="s">
        <v>417</v>
      </c>
    </row>
    <row r="1688" spans="2:16" x14ac:dyDescent="0.25">
      <c r="B1688" s="336" t="s">
        <v>459</v>
      </c>
      <c r="C1688" s="337">
        <v>40575</v>
      </c>
      <c r="D1688" s="338" t="s">
        <v>6045</v>
      </c>
      <c r="E1688" s="338" t="s">
        <v>6044</v>
      </c>
      <c r="F1688" s="338" t="s">
        <v>6043</v>
      </c>
      <c r="G1688" s="338">
        <v>100</v>
      </c>
      <c r="H1688" s="338" t="s">
        <v>425</v>
      </c>
      <c r="I1688" s="338" t="s">
        <v>1243</v>
      </c>
      <c r="J1688" s="339"/>
      <c r="K1688" s="339"/>
      <c r="L1688" s="339"/>
      <c r="M1688" s="339"/>
      <c r="N1688" s="338" t="s">
        <v>443</v>
      </c>
      <c r="O1688" s="338" t="s">
        <v>417</v>
      </c>
      <c r="P1688" s="338" t="s">
        <v>432</v>
      </c>
    </row>
    <row r="1689" spans="2:16" x14ac:dyDescent="0.25">
      <c r="B1689" s="336" t="s">
        <v>416</v>
      </c>
      <c r="C1689" s="337">
        <v>40575</v>
      </c>
      <c r="D1689" s="338" t="s">
        <v>6042</v>
      </c>
      <c r="E1689" s="338" t="s">
        <v>514</v>
      </c>
      <c r="F1689" s="338"/>
      <c r="G1689" s="338" t="s">
        <v>413</v>
      </c>
      <c r="H1689" s="338" t="s">
        <v>425</v>
      </c>
      <c r="I1689" s="338" t="s">
        <v>411</v>
      </c>
      <c r="J1689" s="339"/>
      <c r="K1689" s="339"/>
      <c r="L1689" s="339" t="s">
        <v>409</v>
      </c>
      <c r="M1689" s="339" t="s">
        <v>409</v>
      </c>
      <c r="N1689" s="338" t="s">
        <v>417</v>
      </c>
      <c r="O1689" s="338" t="s">
        <v>409</v>
      </c>
      <c r="P1689" s="338"/>
    </row>
    <row r="1690" spans="2:16" x14ac:dyDescent="0.25">
      <c r="B1690" s="336" t="s">
        <v>416</v>
      </c>
      <c r="C1690" s="337">
        <v>40575</v>
      </c>
      <c r="D1690" s="338" t="s">
        <v>6041</v>
      </c>
      <c r="E1690" s="338" t="s">
        <v>6040</v>
      </c>
      <c r="F1690" s="338"/>
      <c r="G1690" s="338" t="s">
        <v>413</v>
      </c>
      <c r="H1690" s="338" t="s">
        <v>425</v>
      </c>
      <c r="I1690" s="338" t="s">
        <v>411</v>
      </c>
      <c r="J1690" s="339"/>
      <c r="K1690" s="339"/>
      <c r="L1690" s="339" t="s">
        <v>409</v>
      </c>
      <c r="M1690" s="339" t="s">
        <v>409</v>
      </c>
      <c r="N1690" s="338"/>
      <c r="O1690" s="338" t="s">
        <v>409</v>
      </c>
      <c r="P1690" s="338" t="s">
        <v>417</v>
      </c>
    </row>
    <row r="1691" spans="2:16" x14ac:dyDescent="0.25">
      <c r="B1691" s="336" t="s">
        <v>416</v>
      </c>
      <c r="C1691" s="337">
        <v>40575</v>
      </c>
      <c r="D1691" s="338" t="s">
        <v>6039</v>
      </c>
      <c r="E1691" s="338" t="s">
        <v>6038</v>
      </c>
      <c r="F1691" s="338" t="s">
        <v>6037</v>
      </c>
      <c r="G1691" s="338" t="s">
        <v>413</v>
      </c>
      <c r="H1691" s="338" t="s">
        <v>425</v>
      </c>
      <c r="I1691" s="338" t="s">
        <v>411</v>
      </c>
      <c r="J1691" s="339"/>
      <c r="K1691" s="339"/>
      <c r="L1691" s="339">
        <v>0.70584999999999998</v>
      </c>
      <c r="M1691" s="339">
        <v>6.6796600000000002</v>
      </c>
      <c r="N1691" s="338"/>
      <c r="O1691" s="338" t="s">
        <v>487</v>
      </c>
      <c r="P1691" s="338" t="s">
        <v>487</v>
      </c>
    </row>
    <row r="1692" spans="2:16" x14ac:dyDescent="0.25">
      <c r="B1692" s="336" t="s">
        <v>416</v>
      </c>
      <c r="C1692" s="337">
        <v>40575</v>
      </c>
      <c r="D1692" s="338" t="s">
        <v>6036</v>
      </c>
      <c r="E1692" s="338" t="s">
        <v>6035</v>
      </c>
      <c r="F1692" s="338"/>
      <c r="G1692" s="338" t="s">
        <v>413</v>
      </c>
      <c r="H1692" s="338" t="s">
        <v>412</v>
      </c>
      <c r="I1692" s="338" t="s">
        <v>411</v>
      </c>
      <c r="J1692" s="339"/>
      <c r="K1692" s="339"/>
      <c r="L1692" s="339" t="s">
        <v>409</v>
      </c>
      <c r="M1692" s="339" t="s">
        <v>409</v>
      </c>
      <c r="N1692" s="338" t="s">
        <v>410</v>
      </c>
      <c r="O1692" s="338" t="s">
        <v>409</v>
      </c>
      <c r="P1692" s="338" t="s">
        <v>432</v>
      </c>
    </row>
    <row r="1693" spans="2:16" x14ac:dyDescent="0.25">
      <c r="B1693" s="336" t="s">
        <v>416</v>
      </c>
      <c r="C1693" s="337">
        <v>40571</v>
      </c>
      <c r="D1693" s="338" t="s">
        <v>945</v>
      </c>
      <c r="E1693" s="338" t="s">
        <v>3296</v>
      </c>
      <c r="F1693" s="338" t="s">
        <v>2866</v>
      </c>
      <c r="G1693" s="338" t="s">
        <v>413</v>
      </c>
      <c r="H1693" s="338" t="s">
        <v>425</v>
      </c>
      <c r="I1693" s="338" t="s">
        <v>411</v>
      </c>
      <c r="J1693" s="339"/>
      <c r="K1693" s="339"/>
      <c r="L1693" s="339"/>
      <c r="M1693" s="339"/>
      <c r="N1693" s="338"/>
      <c r="O1693" s="338" t="s">
        <v>417</v>
      </c>
      <c r="P1693" s="338" t="s">
        <v>410</v>
      </c>
    </row>
    <row r="1694" spans="2:16" x14ac:dyDescent="0.25">
      <c r="B1694" s="336" t="s">
        <v>416</v>
      </c>
      <c r="C1694" s="337">
        <v>40571</v>
      </c>
      <c r="D1694" s="338" t="s">
        <v>945</v>
      </c>
      <c r="E1694" s="338" t="s">
        <v>6034</v>
      </c>
      <c r="F1694" s="338" t="s">
        <v>6033</v>
      </c>
      <c r="G1694" s="338">
        <v>9.5</v>
      </c>
      <c r="H1694" s="338" t="s">
        <v>425</v>
      </c>
      <c r="I1694" s="338" t="s">
        <v>411</v>
      </c>
      <c r="J1694" s="339"/>
      <c r="K1694" s="339"/>
      <c r="L1694" s="339"/>
      <c r="M1694" s="339"/>
      <c r="N1694" s="338"/>
      <c r="O1694" s="338" t="s">
        <v>417</v>
      </c>
      <c r="P1694" s="338" t="s">
        <v>487</v>
      </c>
    </row>
    <row r="1695" spans="2:16" x14ac:dyDescent="0.25">
      <c r="B1695" s="336" t="s">
        <v>541</v>
      </c>
      <c r="C1695" s="337">
        <v>40570</v>
      </c>
      <c r="D1695" s="338" t="s">
        <v>6032</v>
      </c>
      <c r="E1695" s="338" t="s">
        <v>539</v>
      </c>
      <c r="F1695" s="338" t="s">
        <v>6028</v>
      </c>
      <c r="G1695" s="338" t="s">
        <v>413</v>
      </c>
      <c r="H1695" s="338"/>
      <c r="I1695" s="338" t="s">
        <v>411</v>
      </c>
      <c r="J1695" s="339"/>
      <c r="K1695" s="339"/>
      <c r="L1695" s="339"/>
      <c r="M1695" s="339"/>
      <c r="N1695" s="338"/>
      <c r="O1695" s="338" t="s">
        <v>417</v>
      </c>
      <c r="P1695" s="338" t="s">
        <v>409</v>
      </c>
    </row>
    <row r="1696" spans="2:16" x14ac:dyDescent="0.25">
      <c r="B1696" s="336" t="s">
        <v>541</v>
      </c>
      <c r="C1696" s="337">
        <v>40570</v>
      </c>
      <c r="D1696" s="338" t="s">
        <v>6031</v>
      </c>
      <c r="E1696" s="338" t="s">
        <v>539</v>
      </c>
      <c r="F1696" s="338" t="s">
        <v>4047</v>
      </c>
      <c r="G1696" s="338" t="s">
        <v>413</v>
      </c>
      <c r="H1696" s="338"/>
      <c r="I1696" s="338" t="s">
        <v>411</v>
      </c>
      <c r="J1696" s="339"/>
      <c r="K1696" s="339"/>
      <c r="L1696" s="339"/>
      <c r="M1696" s="339"/>
      <c r="N1696" s="338" t="s">
        <v>408</v>
      </c>
      <c r="O1696" s="338" t="s">
        <v>417</v>
      </c>
      <c r="P1696" s="338" t="s">
        <v>409</v>
      </c>
    </row>
    <row r="1697" spans="2:16" x14ac:dyDescent="0.25">
      <c r="B1697" s="336" t="s">
        <v>541</v>
      </c>
      <c r="C1697" s="337">
        <v>40570</v>
      </c>
      <c r="D1697" s="338" t="s">
        <v>6030</v>
      </c>
      <c r="E1697" s="338" t="s">
        <v>539</v>
      </c>
      <c r="F1697" s="338" t="s">
        <v>6028</v>
      </c>
      <c r="G1697" s="338" t="s">
        <v>413</v>
      </c>
      <c r="H1697" s="338"/>
      <c r="I1697" s="338" t="s">
        <v>411</v>
      </c>
      <c r="J1697" s="339"/>
      <c r="K1697" s="339"/>
      <c r="L1697" s="339"/>
      <c r="M1697" s="339"/>
      <c r="N1697" s="338"/>
      <c r="O1697" s="338" t="s">
        <v>417</v>
      </c>
      <c r="P1697" s="338" t="s">
        <v>409</v>
      </c>
    </row>
    <row r="1698" spans="2:16" x14ac:dyDescent="0.25">
      <c r="B1698" s="336" t="s">
        <v>541</v>
      </c>
      <c r="C1698" s="337">
        <v>40570</v>
      </c>
      <c r="D1698" s="338" t="s">
        <v>6029</v>
      </c>
      <c r="E1698" s="338" t="s">
        <v>539</v>
      </c>
      <c r="F1698" s="338" t="s">
        <v>6028</v>
      </c>
      <c r="G1698" s="338" t="s">
        <v>413</v>
      </c>
      <c r="H1698" s="338"/>
      <c r="I1698" s="338" t="s">
        <v>411</v>
      </c>
      <c r="J1698" s="339"/>
      <c r="K1698" s="339"/>
      <c r="L1698" s="339"/>
      <c r="M1698" s="339"/>
      <c r="N1698" s="338"/>
      <c r="O1698" s="338" t="s">
        <v>417</v>
      </c>
      <c r="P1698" s="338" t="s">
        <v>409</v>
      </c>
    </row>
    <row r="1699" spans="2:16" x14ac:dyDescent="0.25">
      <c r="B1699" s="336" t="s">
        <v>416</v>
      </c>
      <c r="C1699" s="337">
        <v>40568</v>
      </c>
      <c r="D1699" s="338" t="s">
        <v>6027</v>
      </c>
      <c r="E1699" s="338" t="s">
        <v>6026</v>
      </c>
      <c r="F1699" s="338" t="s">
        <v>6025</v>
      </c>
      <c r="G1699" s="338">
        <v>130</v>
      </c>
      <c r="H1699" s="338" t="s">
        <v>425</v>
      </c>
      <c r="I1699" s="338" t="s">
        <v>411</v>
      </c>
      <c r="J1699" s="339"/>
      <c r="K1699" s="339"/>
      <c r="L1699" s="339">
        <v>1.4779500000000001</v>
      </c>
      <c r="M1699" s="339">
        <v>11.909700000000001</v>
      </c>
      <c r="N1699" s="338"/>
      <c r="O1699" s="338" t="s">
        <v>487</v>
      </c>
      <c r="P1699" s="338" t="s">
        <v>487</v>
      </c>
    </row>
    <row r="1700" spans="2:16" x14ac:dyDescent="0.25">
      <c r="B1700" s="336" t="s">
        <v>459</v>
      </c>
      <c r="C1700" s="337">
        <v>40568</v>
      </c>
      <c r="D1700" s="338" t="s">
        <v>6024</v>
      </c>
      <c r="E1700" s="338" t="s">
        <v>6023</v>
      </c>
      <c r="F1700" s="338"/>
      <c r="G1700" s="338" t="s">
        <v>413</v>
      </c>
      <c r="H1700" s="338" t="s">
        <v>412</v>
      </c>
      <c r="I1700" s="338" t="s">
        <v>411</v>
      </c>
      <c r="J1700" s="339"/>
      <c r="K1700" s="339"/>
      <c r="L1700" s="339" t="s">
        <v>409</v>
      </c>
      <c r="M1700" s="339" t="s">
        <v>409</v>
      </c>
      <c r="N1700" s="338" t="s">
        <v>417</v>
      </c>
      <c r="O1700" s="338" t="s">
        <v>409</v>
      </c>
      <c r="P1700" s="338" t="s">
        <v>443</v>
      </c>
    </row>
    <row r="1701" spans="2:16" x14ac:dyDescent="0.25">
      <c r="B1701" s="336" t="s">
        <v>459</v>
      </c>
      <c r="C1701" s="337">
        <v>40568</v>
      </c>
      <c r="D1701" s="338" t="s">
        <v>1229</v>
      </c>
      <c r="E1701" s="338" t="s">
        <v>6022</v>
      </c>
      <c r="F1701" s="338"/>
      <c r="G1701" s="338" t="s">
        <v>413</v>
      </c>
      <c r="H1701" s="338" t="s">
        <v>425</v>
      </c>
      <c r="I1701" s="338" t="s">
        <v>411</v>
      </c>
      <c r="J1701" s="339">
        <v>1.63262</v>
      </c>
      <c r="K1701" s="339">
        <v>11.9886</v>
      </c>
      <c r="L1701" s="339" t="s">
        <v>409</v>
      </c>
      <c r="M1701" s="339" t="s">
        <v>409</v>
      </c>
      <c r="N1701" s="338" t="s">
        <v>410</v>
      </c>
      <c r="O1701" s="338" t="s">
        <v>409</v>
      </c>
      <c r="P1701" s="338"/>
    </row>
    <row r="1702" spans="2:16" x14ac:dyDescent="0.25">
      <c r="B1702" s="336" t="s">
        <v>416</v>
      </c>
      <c r="C1702" s="337">
        <v>40567</v>
      </c>
      <c r="D1702" s="338" t="s">
        <v>1960</v>
      </c>
      <c r="E1702" s="338" t="s">
        <v>3551</v>
      </c>
      <c r="F1702" s="338" t="s">
        <v>576</v>
      </c>
      <c r="G1702" s="338" t="s">
        <v>413</v>
      </c>
      <c r="H1702" s="338" t="s">
        <v>425</v>
      </c>
      <c r="I1702" s="338" t="s">
        <v>411</v>
      </c>
      <c r="J1702" s="339"/>
      <c r="K1702" s="339"/>
      <c r="L1702" s="339"/>
      <c r="M1702" s="339"/>
      <c r="N1702" s="338" t="s">
        <v>410</v>
      </c>
      <c r="O1702" s="338" t="s">
        <v>443</v>
      </c>
      <c r="P1702" s="338" t="s">
        <v>443</v>
      </c>
    </row>
    <row r="1703" spans="2:16" x14ac:dyDescent="0.25">
      <c r="B1703" s="336" t="s">
        <v>416</v>
      </c>
      <c r="C1703" s="337">
        <v>40567</v>
      </c>
      <c r="D1703" s="338" t="s">
        <v>6021</v>
      </c>
      <c r="E1703" s="338" t="s">
        <v>3857</v>
      </c>
      <c r="F1703" s="338"/>
      <c r="G1703" s="338" t="s">
        <v>413</v>
      </c>
      <c r="H1703" s="338" t="s">
        <v>412</v>
      </c>
      <c r="I1703" s="338" t="s">
        <v>411</v>
      </c>
      <c r="J1703" s="339"/>
      <c r="K1703" s="339"/>
      <c r="L1703" s="339" t="s">
        <v>409</v>
      </c>
      <c r="M1703" s="339" t="s">
        <v>409</v>
      </c>
      <c r="N1703" s="338" t="s">
        <v>885</v>
      </c>
      <c r="O1703" s="338" t="s">
        <v>409</v>
      </c>
      <c r="P1703" s="338" t="s">
        <v>417</v>
      </c>
    </row>
    <row r="1704" spans="2:16" x14ac:dyDescent="0.25">
      <c r="B1704" s="336" t="s">
        <v>416</v>
      </c>
      <c r="C1704" s="337">
        <v>40567</v>
      </c>
      <c r="D1704" s="338" t="s">
        <v>6020</v>
      </c>
      <c r="E1704" s="338" t="s">
        <v>6019</v>
      </c>
      <c r="F1704" s="338" t="s">
        <v>6018</v>
      </c>
      <c r="G1704" s="338">
        <v>54.39</v>
      </c>
      <c r="H1704" s="338" t="s">
        <v>336</v>
      </c>
      <c r="I1704" s="338" t="s">
        <v>411</v>
      </c>
      <c r="J1704" s="339"/>
      <c r="K1704" s="339"/>
      <c r="L1704" s="339"/>
      <c r="M1704" s="339"/>
      <c r="N1704" s="338" t="s">
        <v>417</v>
      </c>
      <c r="O1704" s="338" t="s">
        <v>417</v>
      </c>
      <c r="P1704" s="338" t="s">
        <v>417</v>
      </c>
    </row>
    <row r="1705" spans="2:16" x14ac:dyDescent="0.25">
      <c r="B1705" s="336" t="s">
        <v>416</v>
      </c>
      <c r="C1705" s="337">
        <v>40565</v>
      </c>
      <c r="D1705" s="338" t="s">
        <v>6017</v>
      </c>
      <c r="E1705" s="338" t="s">
        <v>6016</v>
      </c>
      <c r="F1705" s="338" t="s">
        <v>6015</v>
      </c>
      <c r="G1705" s="338">
        <v>4.68</v>
      </c>
      <c r="H1705" s="338" t="s">
        <v>425</v>
      </c>
      <c r="I1705" s="338" t="s">
        <v>411</v>
      </c>
      <c r="J1705" s="339"/>
      <c r="K1705" s="339"/>
      <c r="L1705" s="339"/>
      <c r="M1705" s="339"/>
      <c r="N1705" s="338" t="s">
        <v>417</v>
      </c>
      <c r="O1705" s="338" t="s">
        <v>443</v>
      </c>
      <c r="P1705" s="338" t="s">
        <v>417</v>
      </c>
    </row>
    <row r="1706" spans="2:16" x14ac:dyDescent="0.25">
      <c r="B1706" s="336" t="s">
        <v>416</v>
      </c>
      <c r="C1706" s="337">
        <v>40564</v>
      </c>
      <c r="D1706" s="338" t="s">
        <v>6014</v>
      </c>
      <c r="E1706" s="338" t="s">
        <v>6013</v>
      </c>
      <c r="F1706" s="338"/>
      <c r="G1706" s="338" t="s">
        <v>413</v>
      </c>
      <c r="H1706" s="338" t="s">
        <v>425</v>
      </c>
      <c r="I1706" s="338" t="s">
        <v>411</v>
      </c>
      <c r="J1706" s="339"/>
      <c r="K1706" s="339"/>
      <c r="L1706" s="339" t="s">
        <v>409</v>
      </c>
      <c r="M1706" s="339" t="s">
        <v>409</v>
      </c>
      <c r="N1706" s="338" t="s">
        <v>417</v>
      </c>
      <c r="O1706" s="338" t="s">
        <v>409</v>
      </c>
      <c r="P1706" s="338"/>
    </row>
    <row r="1707" spans="2:16" x14ac:dyDescent="0.25">
      <c r="B1707" s="336" t="s">
        <v>416</v>
      </c>
      <c r="C1707" s="337">
        <v>40563</v>
      </c>
      <c r="D1707" s="338" t="s">
        <v>6012</v>
      </c>
      <c r="E1707" s="338" t="s">
        <v>3574</v>
      </c>
      <c r="F1707" s="338"/>
      <c r="G1707" s="338" t="s">
        <v>413</v>
      </c>
      <c r="H1707" s="338" t="s">
        <v>425</v>
      </c>
      <c r="I1707" s="338" t="s">
        <v>411</v>
      </c>
      <c r="J1707" s="339"/>
      <c r="K1707" s="339"/>
      <c r="L1707" s="339" t="s">
        <v>409</v>
      </c>
      <c r="M1707" s="339" t="s">
        <v>409</v>
      </c>
      <c r="N1707" s="338" t="s">
        <v>417</v>
      </c>
      <c r="O1707" s="338" t="s">
        <v>409</v>
      </c>
      <c r="P1707" s="338" t="s">
        <v>417</v>
      </c>
    </row>
    <row r="1708" spans="2:16" x14ac:dyDescent="0.25">
      <c r="B1708" s="336" t="s">
        <v>416</v>
      </c>
      <c r="C1708" s="337">
        <v>40559</v>
      </c>
      <c r="D1708" s="338" t="s">
        <v>6011</v>
      </c>
      <c r="E1708" s="338" t="s">
        <v>1529</v>
      </c>
      <c r="F1708" s="338" t="s">
        <v>4928</v>
      </c>
      <c r="G1708" s="338" t="s">
        <v>413</v>
      </c>
      <c r="H1708" s="338" t="s">
        <v>425</v>
      </c>
      <c r="I1708" s="338" t="s">
        <v>411</v>
      </c>
      <c r="J1708" s="339"/>
      <c r="K1708" s="339"/>
      <c r="L1708" s="339">
        <v>1.1862999999999999</v>
      </c>
      <c r="M1708" s="339">
        <v>8.0235699999999994</v>
      </c>
      <c r="N1708" s="338"/>
      <c r="O1708" s="338" t="s">
        <v>408</v>
      </c>
      <c r="P1708" s="338" t="s">
        <v>410</v>
      </c>
    </row>
    <row r="1709" spans="2:16" x14ac:dyDescent="0.25">
      <c r="B1709" s="336" t="s">
        <v>459</v>
      </c>
      <c r="C1709" s="337">
        <v>40557</v>
      </c>
      <c r="D1709" s="338" t="s">
        <v>6010</v>
      </c>
      <c r="E1709" s="338" t="s">
        <v>6009</v>
      </c>
      <c r="F1709" s="338"/>
      <c r="G1709" s="338">
        <v>1.5</v>
      </c>
      <c r="H1709" s="338" t="s">
        <v>425</v>
      </c>
      <c r="I1709" s="338" t="s">
        <v>411</v>
      </c>
      <c r="J1709" s="339"/>
      <c r="K1709" s="339"/>
      <c r="L1709" s="339" t="s">
        <v>409</v>
      </c>
      <c r="M1709" s="339" t="s">
        <v>409</v>
      </c>
      <c r="N1709" s="338" t="s">
        <v>417</v>
      </c>
      <c r="O1709" s="338" t="s">
        <v>409</v>
      </c>
      <c r="P1709" s="338"/>
    </row>
    <row r="1710" spans="2:16" x14ac:dyDescent="0.25">
      <c r="B1710" s="336" t="s">
        <v>416</v>
      </c>
      <c r="C1710" s="337">
        <v>40556</v>
      </c>
      <c r="D1710" s="338" t="s">
        <v>6008</v>
      </c>
      <c r="E1710" s="338" t="s">
        <v>2444</v>
      </c>
      <c r="F1710" s="338" t="s">
        <v>1879</v>
      </c>
      <c r="G1710" s="338">
        <v>1849.97</v>
      </c>
      <c r="H1710" s="338" t="s">
        <v>425</v>
      </c>
      <c r="I1710" s="338" t="s">
        <v>411</v>
      </c>
      <c r="J1710" s="339"/>
      <c r="K1710" s="339"/>
      <c r="L1710" s="339"/>
      <c r="M1710" s="339"/>
      <c r="N1710" s="338"/>
      <c r="O1710" s="338" t="s">
        <v>443</v>
      </c>
      <c r="P1710" s="338" t="s">
        <v>417</v>
      </c>
    </row>
    <row r="1711" spans="2:16" x14ac:dyDescent="0.25">
      <c r="B1711" s="336" t="s">
        <v>416</v>
      </c>
      <c r="C1711" s="337">
        <v>40555</v>
      </c>
      <c r="D1711" s="338" t="s">
        <v>6007</v>
      </c>
      <c r="E1711" s="338" t="s">
        <v>5767</v>
      </c>
      <c r="F1711" s="338"/>
      <c r="G1711" s="338" t="s">
        <v>413</v>
      </c>
      <c r="H1711" s="338" t="s">
        <v>412</v>
      </c>
      <c r="I1711" s="338" t="s">
        <v>411</v>
      </c>
      <c r="J1711" s="339"/>
      <c r="K1711" s="339"/>
      <c r="L1711" s="339" t="s">
        <v>409</v>
      </c>
      <c r="M1711" s="339" t="s">
        <v>409</v>
      </c>
      <c r="N1711" s="338" t="s">
        <v>605</v>
      </c>
      <c r="O1711" s="338" t="s">
        <v>409</v>
      </c>
      <c r="P1711" s="338" t="s">
        <v>432</v>
      </c>
    </row>
    <row r="1712" spans="2:16" x14ac:dyDescent="0.25">
      <c r="B1712" s="336" t="s">
        <v>416</v>
      </c>
      <c r="C1712" s="337">
        <v>40554</v>
      </c>
      <c r="D1712" s="338" t="s">
        <v>6006</v>
      </c>
      <c r="E1712" s="338" t="s">
        <v>6005</v>
      </c>
      <c r="F1712" s="338"/>
      <c r="G1712" s="338" t="s">
        <v>413</v>
      </c>
      <c r="H1712" s="338" t="s">
        <v>412</v>
      </c>
      <c r="I1712" s="338" t="s">
        <v>411</v>
      </c>
      <c r="J1712" s="339"/>
      <c r="K1712" s="339"/>
      <c r="L1712" s="339" t="s">
        <v>409</v>
      </c>
      <c r="M1712" s="339" t="s">
        <v>409</v>
      </c>
      <c r="N1712" s="338" t="s">
        <v>417</v>
      </c>
      <c r="O1712" s="338" t="s">
        <v>409</v>
      </c>
      <c r="P1712" s="338" t="s">
        <v>417</v>
      </c>
    </row>
    <row r="1713" spans="2:16" x14ac:dyDescent="0.25">
      <c r="B1713" s="336" t="s">
        <v>459</v>
      </c>
      <c r="C1713" s="337">
        <v>40554</v>
      </c>
      <c r="D1713" s="338" t="s">
        <v>6004</v>
      </c>
      <c r="E1713" s="338" t="s">
        <v>6003</v>
      </c>
      <c r="F1713" s="338"/>
      <c r="G1713" s="338">
        <v>37</v>
      </c>
      <c r="H1713" s="338" t="s">
        <v>425</v>
      </c>
      <c r="I1713" s="338" t="s">
        <v>411</v>
      </c>
      <c r="J1713" s="339"/>
      <c r="K1713" s="339"/>
      <c r="L1713" s="339" t="s">
        <v>409</v>
      </c>
      <c r="M1713" s="339" t="s">
        <v>409</v>
      </c>
      <c r="N1713" s="338" t="s">
        <v>417</v>
      </c>
      <c r="O1713" s="338" t="s">
        <v>409</v>
      </c>
      <c r="P1713" s="338" t="s">
        <v>443</v>
      </c>
    </row>
    <row r="1714" spans="2:16" x14ac:dyDescent="0.25">
      <c r="B1714" s="336" t="s">
        <v>416</v>
      </c>
      <c r="C1714" s="337">
        <v>40553</v>
      </c>
      <c r="D1714" s="338" t="s">
        <v>6002</v>
      </c>
      <c r="E1714" s="338" t="s">
        <v>827</v>
      </c>
      <c r="F1714" s="338"/>
      <c r="G1714" s="338" t="s">
        <v>413</v>
      </c>
      <c r="H1714" s="338" t="s">
        <v>425</v>
      </c>
      <c r="I1714" s="338" t="s">
        <v>411</v>
      </c>
      <c r="J1714" s="339"/>
      <c r="K1714" s="339"/>
      <c r="L1714" s="339" t="s">
        <v>409</v>
      </c>
      <c r="M1714" s="339" t="s">
        <v>409</v>
      </c>
      <c r="N1714" s="338" t="s">
        <v>417</v>
      </c>
      <c r="O1714" s="338" t="s">
        <v>409</v>
      </c>
      <c r="P1714" s="338" t="s">
        <v>443</v>
      </c>
    </row>
    <row r="1715" spans="2:16" x14ac:dyDescent="0.25">
      <c r="B1715" s="336" t="s">
        <v>416</v>
      </c>
      <c r="C1715" s="337">
        <v>40551</v>
      </c>
      <c r="D1715" s="338" t="s">
        <v>6001</v>
      </c>
      <c r="E1715" s="338" t="s">
        <v>6000</v>
      </c>
      <c r="F1715" s="338" t="s">
        <v>5999</v>
      </c>
      <c r="G1715" s="338" t="s">
        <v>413</v>
      </c>
      <c r="H1715" s="338" t="s">
        <v>412</v>
      </c>
      <c r="I1715" s="338" t="s">
        <v>411</v>
      </c>
      <c r="J1715" s="339"/>
      <c r="K1715" s="339"/>
      <c r="L1715" s="339"/>
      <c r="M1715" s="339"/>
      <c r="N1715" s="338"/>
      <c r="O1715" s="338" t="s">
        <v>410</v>
      </c>
      <c r="P1715" s="338" t="s">
        <v>417</v>
      </c>
    </row>
    <row r="1716" spans="2:16" x14ac:dyDescent="0.25">
      <c r="B1716" s="336" t="s">
        <v>416</v>
      </c>
      <c r="C1716" s="337">
        <v>40550</v>
      </c>
      <c r="D1716" s="338" t="s">
        <v>5998</v>
      </c>
      <c r="E1716" s="338" t="s">
        <v>716</v>
      </c>
      <c r="F1716" s="338" t="s">
        <v>5997</v>
      </c>
      <c r="G1716" s="338" t="s">
        <v>413</v>
      </c>
      <c r="H1716" s="338" t="s">
        <v>412</v>
      </c>
      <c r="I1716" s="338" t="s">
        <v>411</v>
      </c>
      <c r="J1716" s="339"/>
      <c r="K1716" s="339"/>
      <c r="L1716" s="339"/>
      <c r="M1716" s="339"/>
      <c r="N1716" s="338"/>
      <c r="O1716" s="338" t="s">
        <v>417</v>
      </c>
      <c r="P1716" s="338" t="s">
        <v>443</v>
      </c>
    </row>
    <row r="1717" spans="2:16" x14ac:dyDescent="0.25">
      <c r="B1717" s="336" t="s">
        <v>416</v>
      </c>
      <c r="C1717" s="337">
        <v>40550</v>
      </c>
      <c r="D1717" s="338" t="s">
        <v>5996</v>
      </c>
      <c r="E1717" s="338" t="s">
        <v>5995</v>
      </c>
      <c r="F1717" s="338"/>
      <c r="G1717" s="338" t="s">
        <v>413</v>
      </c>
      <c r="H1717" s="338" t="s">
        <v>412</v>
      </c>
      <c r="I1717" s="338" t="s">
        <v>411</v>
      </c>
      <c r="J1717" s="339"/>
      <c r="K1717" s="339"/>
      <c r="L1717" s="339" t="s">
        <v>409</v>
      </c>
      <c r="M1717" s="339" t="s">
        <v>409</v>
      </c>
      <c r="N1717" s="338" t="s">
        <v>417</v>
      </c>
      <c r="O1717" s="338" t="s">
        <v>409</v>
      </c>
      <c r="P1717" s="338" t="s">
        <v>417</v>
      </c>
    </row>
    <row r="1718" spans="2:16" x14ac:dyDescent="0.25">
      <c r="B1718" s="336" t="s">
        <v>416</v>
      </c>
      <c r="C1718" s="337">
        <v>40549</v>
      </c>
      <c r="D1718" s="338" t="s">
        <v>5994</v>
      </c>
      <c r="E1718" s="338" t="s">
        <v>5765</v>
      </c>
      <c r="F1718" s="338" t="s">
        <v>5993</v>
      </c>
      <c r="G1718" s="338" t="s">
        <v>413</v>
      </c>
      <c r="H1718" s="338" t="s">
        <v>429</v>
      </c>
      <c r="I1718" s="338" t="s">
        <v>411</v>
      </c>
      <c r="J1718" s="339"/>
      <c r="K1718" s="339"/>
      <c r="L1718" s="339">
        <v>0.166854</v>
      </c>
      <c r="M1718" s="339">
        <v>8.2473700000000001</v>
      </c>
      <c r="N1718" s="338" t="s">
        <v>487</v>
      </c>
      <c r="O1718" s="338" t="s">
        <v>487</v>
      </c>
      <c r="P1718" s="338" t="s">
        <v>487</v>
      </c>
    </row>
    <row r="1719" spans="2:16" x14ac:dyDescent="0.25">
      <c r="B1719" s="336" t="s">
        <v>416</v>
      </c>
      <c r="C1719" s="337">
        <v>40549</v>
      </c>
      <c r="D1719" s="338" t="s">
        <v>5992</v>
      </c>
      <c r="E1719" s="338" t="s">
        <v>2173</v>
      </c>
      <c r="F1719" s="338"/>
      <c r="G1719" s="338" t="s">
        <v>413</v>
      </c>
      <c r="H1719" s="338" t="s">
        <v>425</v>
      </c>
      <c r="I1719" s="338" t="s">
        <v>411</v>
      </c>
      <c r="J1719" s="339"/>
      <c r="K1719" s="339"/>
      <c r="L1719" s="339" t="s">
        <v>409</v>
      </c>
      <c r="M1719" s="339" t="s">
        <v>409</v>
      </c>
      <c r="N1719" s="338" t="s">
        <v>417</v>
      </c>
      <c r="O1719" s="338" t="s">
        <v>409</v>
      </c>
      <c r="P1719" s="338" t="s">
        <v>443</v>
      </c>
    </row>
    <row r="1720" spans="2:16" x14ac:dyDescent="0.25">
      <c r="B1720" s="336" t="s">
        <v>459</v>
      </c>
      <c r="C1720" s="337">
        <v>40549</v>
      </c>
      <c r="D1720" s="338" t="s">
        <v>5991</v>
      </c>
      <c r="E1720" s="338" t="s">
        <v>2023</v>
      </c>
      <c r="F1720" s="338"/>
      <c r="G1720" s="338" t="s">
        <v>413</v>
      </c>
      <c r="H1720" s="338" t="s">
        <v>425</v>
      </c>
      <c r="I1720" s="338" t="s">
        <v>411</v>
      </c>
      <c r="J1720" s="339"/>
      <c r="K1720" s="339"/>
      <c r="L1720" s="339" t="s">
        <v>409</v>
      </c>
      <c r="M1720" s="339" t="s">
        <v>409</v>
      </c>
      <c r="N1720" s="338" t="s">
        <v>417</v>
      </c>
      <c r="O1720" s="338" t="s">
        <v>409</v>
      </c>
      <c r="P1720" s="338" t="s">
        <v>443</v>
      </c>
    </row>
    <row r="1721" spans="2:16" x14ac:dyDescent="0.25">
      <c r="B1721" s="336" t="s">
        <v>416</v>
      </c>
      <c r="C1721" s="337">
        <v>40548</v>
      </c>
      <c r="D1721" s="338" t="s">
        <v>745</v>
      </c>
      <c r="E1721" s="338" t="s">
        <v>669</v>
      </c>
      <c r="F1721" s="338" t="s">
        <v>744</v>
      </c>
      <c r="G1721" s="338" t="s">
        <v>413</v>
      </c>
      <c r="H1721" s="338" t="s">
        <v>412</v>
      </c>
      <c r="I1721" s="338" t="s">
        <v>411</v>
      </c>
      <c r="J1721" s="339"/>
      <c r="K1721" s="339"/>
      <c r="L1721" s="339"/>
      <c r="M1721" s="339"/>
      <c r="N1721" s="338" t="s">
        <v>487</v>
      </c>
      <c r="O1721" s="338" t="s">
        <v>443</v>
      </c>
      <c r="P1721" s="338"/>
    </row>
    <row r="1722" spans="2:16" x14ac:dyDescent="0.25">
      <c r="B1722" s="336" t="s">
        <v>416</v>
      </c>
      <c r="C1722" s="337">
        <v>40548</v>
      </c>
      <c r="D1722" s="338" t="s">
        <v>5990</v>
      </c>
      <c r="E1722" s="338" t="s">
        <v>3543</v>
      </c>
      <c r="F1722" s="338" t="s">
        <v>5989</v>
      </c>
      <c r="G1722" s="338" t="s">
        <v>413</v>
      </c>
      <c r="H1722" s="338" t="s">
        <v>425</v>
      </c>
      <c r="I1722" s="338" t="s">
        <v>411</v>
      </c>
      <c r="J1722" s="339"/>
      <c r="K1722" s="339"/>
      <c r="L1722" s="339"/>
      <c r="M1722" s="339"/>
      <c r="N1722" s="338"/>
      <c r="O1722" s="338" t="s">
        <v>487</v>
      </c>
      <c r="P1722" s="338" t="s">
        <v>417</v>
      </c>
    </row>
    <row r="1723" spans="2:16" x14ac:dyDescent="0.25">
      <c r="B1723" s="336" t="s">
        <v>416</v>
      </c>
      <c r="C1723" s="337">
        <v>40548</v>
      </c>
      <c r="D1723" s="338" t="s">
        <v>5988</v>
      </c>
      <c r="E1723" s="338" t="s">
        <v>2735</v>
      </c>
      <c r="F1723" s="338"/>
      <c r="G1723" s="338" t="s">
        <v>413</v>
      </c>
      <c r="H1723" s="338" t="s">
        <v>425</v>
      </c>
      <c r="I1723" s="338" t="s">
        <v>411</v>
      </c>
      <c r="J1723" s="339"/>
      <c r="K1723" s="339"/>
      <c r="L1723" s="339" t="s">
        <v>409</v>
      </c>
      <c r="M1723" s="339" t="s">
        <v>409</v>
      </c>
      <c r="N1723" s="338" t="s">
        <v>417</v>
      </c>
      <c r="O1723" s="338" t="s">
        <v>409</v>
      </c>
      <c r="P1723" s="338" t="s">
        <v>443</v>
      </c>
    </row>
    <row r="1724" spans="2:16" x14ac:dyDescent="0.25">
      <c r="B1724" s="336" t="s">
        <v>416</v>
      </c>
      <c r="C1724" s="337">
        <v>40547</v>
      </c>
      <c r="D1724" s="338" t="s">
        <v>5987</v>
      </c>
      <c r="E1724" s="338" t="s">
        <v>5986</v>
      </c>
      <c r="F1724" s="338"/>
      <c r="G1724" s="338">
        <v>55.3</v>
      </c>
      <c r="H1724" s="338" t="s">
        <v>425</v>
      </c>
      <c r="I1724" s="338" t="s">
        <v>411</v>
      </c>
      <c r="J1724" s="339">
        <v>1.8055600000000001</v>
      </c>
      <c r="K1724" s="339">
        <v>6.0006000000000004</v>
      </c>
      <c r="L1724" s="339" t="s">
        <v>409</v>
      </c>
      <c r="M1724" s="339" t="s">
        <v>409</v>
      </c>
      <c r="N1724" s="338" t="s">
        <v>410</v>
      </c>
      <c r="O1724" s="338" t="s">
        <v>409</v>
      </c>
      <c r="P1724" s="338" t="s">
        <v>417</v>
      </c>
    </row>
    <row r="1725" spans="2:16" x14ac:dyDescent="0.25">
      <c r="B1725" s="336" t="s">
        <v>459</v>
      </c>
      <c r="C1725" s="337">
        <v>40547</v>
      </c>
      <c r="D1725" s="338" t="s">
        <v>2260</v>
      </c>
      <c r="E1725" s="338" t="s">
        <v>1904</v>
      </c>
      <c r="F1725" s="338" t="s">
        <v>2881</v>
      </c>
      <c r="G1725" s="338" t="s">
        <v>413</v>
      </c>
      <c r="H1725" s="338" t="s">
        <v>412</v>
      </c>
      <c r="I1725" s="338" t="s">
        <v>411</v>
      </c>
      <c r="J1725" s="339"/>
      <c r="K1725" s="339"/>
      <c r="L1725" s="339"/>
      <c r="M1725" s="339"/>
      <c r="N1725" s="338" t="s">
        <v>417</v>
      </c>
      <c r="O1725" s="338" t="s">
        <v>432</v>
      </c>
      <c r="P1725" s="338" t="s">
        <v>417</v>
      </c>
    </row>
    <row r="1726" spans="2:16" x14ac:dyDescent="0.25">
      <c r="B1726" s="336" t="s">
        <v>416</v>
      </c>
      <c r="C1726" s="337">
        <v>40547</v>
      </c>
      <c r="D1726" s="338" t="s">
        <v>5985</v>
      </c>
      <c r="E1726" s="338" t="s">
        <v>5984</v>
      </c>
      <c r="F1726" s="338" t="s">
        <v>889</v>
      </c>
      <c r="G1726" s="338" t="s">
        <v>413</v>
      </c>
      <c r="H1726" s="338" t="s">
        <v>425</v>
      </c>
      <c r="I1726" s="338" t="s">
        <v>411</v>
      </c>
      <c r="J1726" s="339"/>
      <c r="K1726" s="339"/>
      <c r="L1726" s="339">
        <v>2.9470299999999998</v>
      </c>
      <c r="M1726" s="339">
        <v>13.790100000000001</v>
      </c>
      <c r="N1726" s="338"/>
      <c r="O1726" s="338" t="s">
        <v>410</v>
      </c>
      <c r="P1726" s="338" t="s">
        <v>410</v>
      </c>
    </row>
    <row r="1727" spans="2:16" x14ac:dyDescent="0.25">
      <c r="B1727" s="336" t="s">
        <v>416</v>
      </c>
      <c r="C1727" s="337">
        <v>40547</v>
      </c>
      <c r="D1727" s="338" t="s">
        <v>5983</v>
      </c>
      <c r="E1727" s="338" t="s">
        <v>1342</v>
      </c>
      <c r="F1727" s="338"/>
      <c r="G1727" s="338" t="s">
        <v>413</v>
      </c>
      <c r="H1727" s="338" t="s">
        <v>425</v>
      </c>
      <c r="I1727" s="338" t="s">
        <v>411</v>
      </c>
      <c r="J1727" s="339"/>
      <c r="K1727" s="339"/>
      <c r="L1727" s="339" t="s">
        <v>409</v>
      </c>
      <c r="M1727" s="339" t="s">
        <v>409</v>
      </c>
      <c r="N1727" s="338" t="s">
        <v>417</v>
      </c>
      <c r="O1727" s="338" t="s">
        <v>409</v>
      </c>
      <c r="P1727" s="338" t="s">
        <v>443</v>
      </c>
    </row>
    <row r="1728" spans="2:16" x14ac:dyDescent="0.25">
      <c r="B1728" s="336" t="s">
        <v>459</v>
      </c>
      <c r="C1728" s="337">
        <v>40547</v>
      </c>
      <c r="D1728" s="338" t="s">
        <v>2749</v>
      </c>
      <c r="E1728" s="338" t="s">
        <v>5982</v>
      </c>
      <c r="F1728" s="338"/>
      <c r="G1728" s="338">
        <v>12</v>
      </c>
      <c r="H1728" s="338" t="s">
        <v>425</v>
      </c>
      <c r="I1728" s="338" t="s">
        <v>411</v>
      </c>
      <c r="J1728" s="339"/>
      <c r="K1728" s="339"/>
      <c r="L1728" s="339" t="s">
        <v>409</v>
      </c>
      <c r="M1728" s="339" t="s">
        <v>409</v>
      </c>
      <c r="N1728" s="338" t="s">
        <v>432</v>
      </c>
      <c r="O1728" s="338" t="s">
        <v>409</v>
      </c>
      <c r="P1728" s="338"/>
    </row>
    <row r="1729" spans="2:16" x14ac:dyDescent="0.25">
      <c r="B1729" s="336" t="s">
        <v>416</v>
      </c>
      <c r="C1729" s="337">
        <v>40546</v>
      </c>
      <c r="D1729" s="338" t="s">
        <v>5981</v>
      </c>
      <c r="E1729" s="338" t="s">
        <v>5980</v>
      </c>
      <c r="F1729" s="338" t="s">
        <v>5975</v>
      </c>
      <c r="G1729" s="338">
        <v>176.69</v>
      </c>
      <c r="H1729" s="338" t="s">
        <v>425</v>
      </c>
      <c r="I1729" s="338" t="s">
        <v>411</v>
      </c>
      <c r="J1729" s="339"/>
      <c r="K1729" s="339"/>
      <c r="L1729" s="339"/>
      <c r="M1729" s="339"/>
      <c r="N1729" s="338"/>
      <c r="O1729" s="338" t="s">
        <v>410</v>
      </c>
      <c r="P1729" s="338" t="s">
        <v>410</v>
      </c>
    </row>
    <row r="1730" spans="2:16" x14ac:dyDescent="0.25">
      <c r="B1730" s="336" t="s">
        <v>416</v>
      </c>
      <c r="C1730" s="337">
        <v>40546</v>
      </c>
      <c r="D1730" s="338" t="s">
        <v>5979</v>
      </c>
      <c r="E1730" s="338" t="s">
        <v>5978</v>
      </c>
      <c r="F1730" s="338"/>
      <c r="G1730" s="338" t="s">
        <v>413</v>
      </c>
      <c r="H1730" s="338" t="s">
        <v>412</v>
      </c>
      <c r="I1730" s="338" t="s">
        <v>411</v>
      </c>
      <c r="J1730" s="339"/>
      <c r="K1730" s="339"/>
      <c r="L1730" s="339" t="s">
        <v>409</v>
      </c>
      <c r="M1730" s="339" t="s">
        <v>409</v>
      </c>
      <c r="N1730" s="338" t="s">
        <v>417</v>
      </c>
      <c r="O1730" s="338" t="s">
        <v>409</v>
      </c>
      <c r="P1730" s="338" t="s">
        <v>543</v>
      </c>
    </row>
    <row r="1731" spans="2:16" x14ac:dyDescent="0.25">
      <c r="B1731" s="336" t="s">
        <v>416</v>
      </c>
      <c r="C1731" s="337">
        <v>40546</v>
      </c>
      <c r="D1731" s="338" t="s">
        <v>5977</v>
      </c>
      <c r="E1731" s="338" t="s">
        <v>5976</v>
      </c>
      <c r="F1731" s="338" t="s">
        <v>5975</v>
      </c>
      <c r="G1731" s="338" t="s">
        <v>413</v>
      </c>
      <c r="H1731" s="338" t="s">
        <v>425</v>
      </c>
      <c r="I1731" s="338" t="s">
        <v>411</v>
      </c>
      <c r="J1731" s="339"/>
      <c r="K1731" s="339"/>
      <c r="L1731" s="339"/>
      <c r="M1731" s="339"/>
      <c r="N1731" s="338"/>
      <c r="O1731" s="338" t="s">
        <v>410</v>
      </c>
      <c r="P1731" s="338" t="s">
        <v>410</v>
      </c>
    </row>
    <row r="1732" spans="2:16" x14ac:dyDescent="0.25">
      <c r="B1732" s="336" t="s">
        <v>416</v>
      </c>
      <c r="C1732" s="337">
        <v>40546</v>
      </c>
      <c r="D1732" s="338" t="s">
        <v>5974</v>
      </c>
      <c r="E1732" s="338" t="s">
        <v>1322</v>
      </c>
      <c r="F1732" s="338"/>
      <c r="G1732" s="338" t="s">
        <v>413</v>
      </c>
      <c r="H1732" s="338" t="s">
        <v>412</v>
      </c>
      <c r="I1732" s="338" t="s">
        <v>411</v>
      </c>
      <c r="J1732" s="339"/>
      <c r="K1732" s="339"/>
      <c r="L1732" s="339" t="s">
        <v>409</v>
      </c>
      <c r="M1732" s="339" t="s">
        <v>409</v>
      </c>
      <c r="N1732" s="338" t="s">
        <v>417</v>
      </c>
      <c r="O1732" s="338" t="s">
        <v>409</v>
      </c>
      <c r="P1732" s="338" t="s">
        <v>417</v>
      </c>
    </row>
    <row r="1733" spans="2:16" x14ac:dyDescent="0.25">
      <c r="B1733" s="336" t="s">
        <v>416</v>
      </c>
      <c r="C1733" s="337">
        <v>40543</v>
      </c>
      <c r="D1733" s="338" t="s">
        <v>5973</v>
      </c>
      <c r="E1733" s="338" t="s">
        <v>2418</v>
      </c>
      <c r="F1733" s="338" t="s">
        <v>5972</v>
      </c>
      <c r="G1733" s="338">
        <v>1250</v>
      </c>
      <c r="H1733" s="338" t="s">
        <v>425</v>
      </c>
      <c r="I1733" s="338" t="s">
        <v>411</v>
      </c>
      <c r="J1733" s="339"/>
      <c r="K1733" s="339"/>
      <c r="L1733" s="339"/>
      <c r="M1733" s="339"/>
      <c r="N1733" s="338"/>
      <c r="O1733" s="338" t="s">
        <v>410</v>
      </c>
      <c r="P1733" s="338" t="s">
        <v>417</v>
      </c>
    </row>
    <row r="1734" spans="2:16" x14ac:dyDescent="0.25">
      <c r="B1734" s="336" t="s">
        <v>459</v>
      </c>
      <c r="C1734" s="337">
        <v>40543</v>
      </c>
      <c r="D1734" s="338" t="s">
        <v>2302</v>
      </c>
      <c r="E1734" s="338" t="s">
        <v>514</v>
      </c>
      <c r="F1734" s="338" t="s">
        <v>804</v>
      </c>
      <c r="G1734" s="338" t="s">
        <v>413</v>
      </c>
      <c r="H1734" s="338" t="s">
        <v>425</v>
      </c>
      <c r="I1734" s="338" t="s">
        <v>411</v>
      </c>
      <c r="J1734" s="339"/>
      <c r="K1734" s="339"/>
      <c r="L1734" s="339"/>
      <c r="M1734" s="339"/>
      <c r="N1734" s="338" t="s">
        <v>417</v>
      </c>
      <c r="O1734" s="338" t="s">
        <v>443</v>
      </c>
      <c r="P1734" s="338"/>
    </row>
    <row r="1735" spans="2:16" x14ac:dyDescent="0.25">
      <c r="B1735" s="336" t="s">
        <v>459</v>
      </c>
      <c r="C1735" s="337">
        <v>40543</v>
      </c>
      <c r="D1735" s="338" t="s">
        <v>5971</v>
      </c>
      <c r="E1735" s="338" t="s">
        <v>5970</v>
      </c>
      <c r="F1735" s="338"/>
      <c r="G1735" s="338" t="s">
        <v>413</v>
      </c>
      <c r="H1735" s="338" t="s">
        <v>425</v>
      </c>
      <c r="I1735" s="338" t="s">
        <v>411</v>
      </c>
      <c r="J1735" s="339"/>
      <c r="K1735" s="339"/>
      <c r="L1735" s="339" t="s">
        <v>409</v>
      </c>
      <c r="M1735" s="339" t="s">
        <v>409</v>
      </c>
      <c r="N1735" s="338"/>
      <c r="O1735" s="338" t="s">
        <v>409</v>
      </c>
      <c r="P1735" s="338"/>
    </row>
    <row r="1736" spans="2:16" x14ac:dyDescent="0.25">
      <c r="B1736" s="336" t="s">
        <v>416</v>
      </c>
      <c r="C1736" s="337">
        <v>40543</v>
      </c>
      <c r="D1736" s="338" t="s">
        <v>495</v>
      </c>
      <c r="E1736" s="338" t="s">
        <v>5969</v>
      </c>
      <c r="F1736" s="338" t="s">
        <v>2311</v>
      </c>
      <c r="G1736" s="338" t="s">
        <v>413</v>
      </c>
      <c r="H1736" s="338" t="s">
        <v>425</v>
      </c>
      <c r="I1736" s="338" t="s">
        <v>411</v>
      </c>
      <c r="J1736" s="339"/>
      <c r="K1736" s="339"/>
      <c r="L1736" s="339"/>
      <c r="M1736" s="339"/>
      <c r="N1736" s="338" t="s">
        <v>417</v>
      </c>
      <c r="O1736" s="338" t="s">
        <v>443</v>
      </c>
      <c r="P1736" s="338" t="s">
        <v>443</v>
      </c>
    </row>
    <row r="1737" spans="2:16" x14ac:dyDescent="0.25">
      <c r="B1737" s="336" t="s">
        <v>416</v>
      </c>
      <c r="C1737" s="337">
        <v>40542</v>
      </c>
      <c r="D1737" s="338" t="s">
        <v>5968</v>
      </c>
      <c r="E1737" s="338" t="s">
        <v>5967</v>
      </c>
      <c r="F1737" s="338"/>
      <c r="G1737" s="338" t="s">
        <v>413</v>
      </c>
      <c r="H1737" s="338" t="s">
        <v>425</v>
      </c>
      <c r="I1737" s="338" t="s">
        <v>411</v>
      </c>
      <c r="J1737" s="339"/>
      <c r="K1737" s="339"/>
      <c r="L1737" s="339" t="s">
        <v>409</v>
      </c>
      <c r="M1737" s="339" t="s">
        <v>409</v>
      </c>
      <c r="N1737" s="338" t="s">
        <v>417</v>
      </c>
      <c r="O1737" s="338" t="s">
        <v>409</v>
      </c>
      <c r="P1737" s="338" t="s">
        <v>443</v>
      </c>
    </row>
    <row r="1738" spans="2:16" x14ac:dyDescent="0.25">
      <c r="B1738" s="336" t="s">
        <v>416</v>
      </c>
      <c r="C1738" s="337">
        <v>40541</v>
      </c>
      <c r="D1738" s="338" t="s">
        <v>5966</v>
      </c>
      <c r="E1738" s="338" t="s">
        <v>5965</v>
      </c>
      <c r="F1738" s="338"/>
      <c r="G1738" s="338">
        <v>17.149999999999999</v>
      </c>
      <c r="H1738" s="338" t="s">
        <v>425</v>
      </c>
      <c r="I1738" s="338" t="s">
        <v>411</v>
      </c>
      <c r="J1738" s="339"/>
      <c r="K1738" s="339"/>
      <c r="L1738" s="339" t="s">
        <v>409</v>
      </c>
      <c r="M1738" s="339" t="s">
        <v>409</v>
      </c>
      <c r="N1738" s="338" t="s">
        <v>408</v>
      </c>
      <c r="O1738" s="338" t="s">
        <v>409</v>
      </c>
      <c r="P1738" s="338" t="s">
        <v>417</v>
      </c>
    </row>
    <row r="1739" spans="2:16" x14ac:dyDescent="0.25">
      <c r="B1739" s="336" t="s">
        <v>416</v>
      </c>
      <c r="C1739" s="337">
        <v>40540</v>
      </c>
      <c r="D1739" s="338" t="s">
        <v>5964</v>
      </c>
      <c r="E1739" s="338" t="s">
        <v>5963</v>
      </c>
      <c r="F1739" s="338"/>
      <c r="G1739" s="338" t="s">
        <v>413</v>
      </c>
      <c r="H1739" s="338" t="s">
        <v>425</v>
      </c>
      <c r="I1739" s="338" t="s">
        <v>411</v>
      </c>
      <c r="J1739" s="339">
        <v>3.0393699999999999</v>
      </c>
      <c r="K1739" s="339">
        <v>23.2498</v>
      </c>
      <c r="L1739" s="339" t="s">
        <v>409</v>
      </c>
      <c r="M1739" s="339" t="s">
        <v>409</v>
      </c>
      <c r="N1739" s="338" t="s">
        <v>417</v>
      </c>
      <c r="O1739" s="338" t="s">
        <v>409</v>
      </c>
      <c r="P1739" s="338"/>
    </row>
    <row r="1740" spans="2:16" x14ac:dyDescent="0.25">
      <c r="B1740" s="336" t="s">
        <v>416</v>
      </c>
      <c r="C1740" s="337">
        <v>40535</v>
      </c>
      <c r="D1740" s="338" t="s">
        <v>3621</v>
      </c>
      <c r="E1740" s="338" t="s">
        <v>1330</v>
      </c>
      <c r="F1740" s="338"/>
      <c r="G1740" s="338">
        <v>1618.33</v>
      </c>
      <c r="H1740" s="338" t="s">
        <v>425</v>
      </c>
      <c r="I1740" s="338" t="s">
        <v>411</v>
      </c>
      <c r="J1740" s="339">
        <v>0.69189299999999998</v>
      </c>
      <c r="K1740" s="339">
        <v>6.8140400000000003</v>
      </c>
      <c r="L1740" s="339" t="s">
        <v>409</v>
      </c>
      <c r="M1740" s="339" t="s">
        <v>409</v>
      </c>
      <c r="N1740" s="338" t="s">
        <v>417</v>
      </c>
      <c r="O1740" s="338" t="s">
        <v>409</v>
      </c>
      <c r="P1740" s="338" t="s">
        <v>443</v>
      </c>
    </row>
    <row r="1741" spans="2:16" x14ac:dyDescent="0.25">
      <c r="B1741" s="336" t="s">
        <v>416</v>
      </c>
      <c r="C1741" s="337">
        <v>40534</v>
      </c>
      <c r="D1741" s="338" t="s">
        <v>5962</v>
      </c>
      <c r="E1741" s="338" t="s">
        <v>5961</v>
      </c>
      <c r="F1741" s="338"/>
      <c r="G1741" s="338" t="s">
        <v>413</v>
      </c>
      <c r="H1741" s="338" t="s">
        <v>425</v>
      </c>
      <c r="I1741" s="338" t="s">
        <v>411</v>
      </c>
      <c r="J1741" s="339"/>
      <c r="K1741" s="339"/>
      <c r="L1741" s="339" t="s">
        <v>409</v>
      </c>
      <c r="M1741" s="339" t="s">
        <v>409</v>
      </c>
      <c r="N1741" s="338"/>
      <c r="O1741" s="338" t="s">
        <v>409</v>
      </c>
      <c r="P1741" s="338" t="s">
        <v>443</v>
      </c>
    </row>
    <row r="1742" spans="2:16" x14ac:dyDescent="0.25">
      <c r="B1742" s="336" t="s">
        <v>416</v>
      </c>
      <c r="C1742" s="337">
        <v>40534</v>
      </c>
      <c r="D1742" s="338" t="s">
        <v>5960</v>
      </c>
      <c r="E1742" s="338" t="s">
        <v>5959</v>
      </c>
      <c r="F1742" s="338"/>
      <c r="G1742" s="338">
        <v>75.5</v>
      </c>
      <c r="H1742" s="338" t="s">
        <v>425</v>
      </c>
      <c r="I1742" s="338" t="s">
        <v>411</v>
      </c>
      <c r="J1742" s="339"/>
      <c r="K1742" s="339"/>
      <c r="L1742" s="339" t="s">
        <v>409</v>
      </c>
      <c r="M1742" s="339" t="s">
        <v>409</v>
      </c>
      <c r="N1742" s="338" t="s">
        <v>443</v>
      </c>
      <c r="O1742" s="338" t="s">
        <v>409</v>
      </c>
      <c r="P1742" s="338" t="s">
        <v>410</v>
      </c>
    </row>
    <row r="1743" spans="2:16" x14ac:dyDescent="0.25">
      <c r="B1743" s="336" t="s">
        <v>416</v>
      </c>
      <c r="C1743" s="337">
        <v>40534</v>
      </c>
      <c r="D1743" s="338" t="s">
        <v>552</v>
      </c>
      <c r="E1743" s="338" t="s">
        <v>5958</v>
      </c>
      <c r="F1743" s="338" t="s">
        <v>5957</v>
      </c>
      <c r="G1743" s="338">
        <v>24.92</v>
      </c>
      <c r="H1743" s="338" t="s">
        <v>336</v>
      </c>
      <c r="I1743" s="338" t="s">
        <v>411</v>
      </c>
      <c r="J1743" s="339"/>
      <c r="K1743" s="339"/>
      <c r="L1743" s="339"/>
      <c r="M1743" s="339"/>
      <c r="N1743" s="338"/>
      <c r="O1743" s="338" t="s">
        <v>410</v>
      </c>
      <c r="P1743" s="338" t="s">
        <v>410</v>
      </c>
    </row>
    <row r="1744" spans="2:16" x14ac:dyDescent="0.25">
      <c r="B1744" s="336" t="s">
        <v>416</v>
      </c>
      <c r="C1744" s="337">
        <v>40534</v>
      </c>
      <c r="D1744" s="338" t="s">
        <v>4390</v>
      </c>
      <c r="E1744" s="338" t="s">
        <v>5956</v>
      </c>
      <c r="F1744" s="338" t="s">
        <v>4389</v>
      </c>
      <c r="G1744" s="338" t="s">
        <v>413</v>
      </c>
      <c r="H1744" s="338" t="s">
        <v>425</v>
      </c>
      <c r="I1744" s="338" t="s">
        <v>411</v>
      </c>
      <c r="J1744" s="339"/>
      <c r="K1744" s="339"/>
      <c r="L1744" s="339"/>
      <c r="M1744" s="339"/>
      <c r="N1744" s="338" t="s">
        <v>417</v>
      </c>
      <c r="O1744" s="338" t="s">
        <v>443</v>
      </c>
      <c r="P1744" s="338"/>
    </row>
    <row r="1745" spans="2:16" x14ac:dyDescent="0.25">
      <c r="B1745" s="336" t="s">
        <v>416</v>
      </c>
      <c r="C1745" s="337">
        <v>40533</v>
      </c>
      <c r="D1745" s="338" t="s">
        <v>5955</v>
      </c>
      <c r="E1745" s="338" t="s">
        <v>5954</v>
      </c>
      <c r="F1745" s="338"/>
      <c r="G1745" s="338" t="s">
        <v>413</v>
      </c>
      <c r="H1745" s="338" t="s">
        <v>412</v>
      </c>
      <c r="I1745" s="338" t="s">
        <v>411</v>
      </c>
      <c r="J1745" s="339"/>
      <c r="K1745" s="339"/>
      <c r="L1745" s="339" t="s">
        <v>409</v>
      </c>
      <c r="M1745" s="339" t="s">
        <v>409</v>
      </c>
      <c r="N1745" s="338" t="s">
        <v>417</v>
      </c>
      <c r="O1745" s="338" t="s">
        <v>409</v>
      </c>
      <c r="P1745" s="338" t="s">
        <v>417</v>
      </c>
    </row>
    <row r="1746" spans="2:16" x14ac:dyDescent="0.25">
      <c r="B1746" s="336" t="s">
        <v>416</v>
      </c>
      <c r="C1746" s="337">
        <v>40533</v>
      </c>
      <c r="D1746" s="338" t="s">
        <v>5953</v>
      </c>
      <c r="E1746" s="338" t="s">
        <v>5952</v>
      </c>
      <c r="F1746" s="338"/>
      <c r="G1746" s="338" t="s">
        <v>413</v>
      </c>
      <c r="H1746" s="338" t="s">
        <v>412</v>
      </c>
      <c r="I1746" s="338" t="s">
        <v>411</v>
      </c>
      <c r="J1746" s="339"/>
      <c r="K1746" s="339"/>
      <c r="L1746" s="339" t="s">
        <v>409</v>
      </c>
      <c r="M1746" s="339" t="s">
        <v>409</v>
      </c>
      <c r="N1746" s="338" t="s">
        <v>417</v>
      </c>
      <c r="O1746" s="338" t="s">
        <v>409</v>
      </c>
      <c r="P1746" s="338" t="s">
        <v>487</v>
      </c>
    </row>
    <row r="1747" spans="2:16" x14ac:dyDescent="0.25">
      <c r="B1747" s="336" t="s">
        <v>416</v>
      </c>
      <c r="C1747" s="337">
        <v>40532</v>
      </c>
      <c r="D1747" s="338" t="s">
        <v>5951</v>
      </c>
      <c r="E1747" s="338" t="s">
        <v>3853</v>
      </c>
      <c r="F1747" s="338"/>
      <c r="G1747" s="338" t="s">
        <v>413</v>
      </c>
      <c r="H1747" s="338" t="s">
        <v>412</v>
      </c>
      <c r="I1747" s="338" t="s">
        <v>411</v>
      </c>
      <c r="J1747" s="339"/>
      <c r="K1747" s="339"/>
      <c r="L1747" s="339" t="s">
        <v>409</v>
      </c>
      <c r="M1747" s="339" t="s">
        <v>409</v>
      </c>
      <c r="N1747" s="338"/>
      <c r="O1747" s="338" t="s">
        <v>409</v>
      </c>
      <c r="P1747" s="338" t="s">
        <v>432</v>
      </c>
    </row>
    <row r="1748" spans="2:16" x14ac:dyDescent="0.25">
      <c r="B1748" s="336" t="s">
        <v>416</v>
      </c>
      <c r="C1748" s="337">
        <v>40529</v>
      </c>
      <c r="D1748" s="338" t="s">
        <v>5950</v>
      </c>
      <c r="E1748" s="338" t="s">
        <v>3968</v>
      </c>
      <c r="F1748" s="338"/>
      <c r="G1748" s="338">
        <v>1200</v>
      </c>
      <c r="H1748" s="338" t="s">
        <v>425</v>
      </c>
      <c r="I1748" s="338" t="s">
        <v>411</v>
      </c>
      <c r="J1748" s="339"/>
      <c r="K1748" s="339"/>
      <c r="L1748" s="339" t="s">
        <v>409</v>
      </c>
      <c r="M1748" s="339" t="s">
        <v>409</v>
      </c>
      <c r="N1748" s="338" t="s">
        <v>410</v>
      </c>
      <c r="O1748" s="338" t="s">
        <v>409</v>
      </c>
      <c r="P1748" s="338" t="s">
        <v>410</v>
      </c>
    </row>
    <row r="1749" spans="2:16" x14ac:dyDescent="0.25">
      <c r="B1749" s="336" t="s">
        <v>416</v>
      </c>
      <c r="C1749" s="337">
        <v>40528</v>
      </c>
      <c r="D1749" s="338" t="s">
        <v>5949</v>
      </c>
      <c r="E1749" s="338" t="s">
        <v>5948</v>
      </c>
      <c r="F1749" s="338"/>
      <c r="G1749" s="338" t="s">
        <v>413</v>
      </c>
      <c r="H1749" s="338" t="s">
        <v>412</v>
      </c>
      <c r="I1749" s="338" t="s">
        <v>411</v>
      </c>
      <c r="J1749" s="339"/>
      <c r="K1749" s="339"/>
      <c r="L1749" s="339" t="s">
        <v>409</v>
      </c>
      <c r="M1749" s="339" t="s">
        <v>409</v>
      </c>
      <c r="N1749" s="338" t="s">
        <v>417</v>
      </c>
      <c r="O1749" s="338" t="s">
        <v>409</v>
      </c>
      <c r="P1749" s="338" t="s">
        <v>410</v>
      </c>
    </row>
    <row r="1750" spans="2:16" x14ac:dyDescent="0.25">
      <c r="B1750" s="336" t="s">
        <v>416</v>
      </c>
      <c r="C1750" s="337">
        <v>40528</v>
      </c>
      <c r="D1750" s="338" t="s">
        <v>956</v>
      </c>
      <c r="E1750" s="338" t="s">
        <v>5947</v>
      </c>
      <c r="F1750" s="338" t="s">
        <v>5946</v>
      </c>
      <c r="G1750" s="338" t="s">
        <v>413</v>
      </c>
      <c r="H1750" s="338" t="s">
        <v>425</v>
      </c>
      <c r="I1750" s="338" t="s">
        <v>411</v>
      </c>
      <c r="J1750" s="339"/>
      <c r="K1750" s="339"/>
      <c r="L1750" s="339"/>
      <c r="M1750" s="339"/>
      <c r="N1750" s="338"/>
      <c r="O1750" s="338" t="s">
        <v>417</v>
      </c>
      <c r="P1750" s="338" t="s">
        <v>482</v>
      </c>
    </row>
    <row r="1751" spans="2:16" x14ac:dyDescent="0.25">
      <c r="B1751" s="336" t="s">
        <v>416</v>
      </c>
      <c r="C1751" s="337">
        <v>40528</v>
      </c>
      <c r="D1751" s="338" t="s">
        <v>5945</v>
      </c>
      <c r="E1751" s="338" t="s">
        <v>3857</v>
      </c>
      <c r="F1751" s="338"/>
      <c r="G1751" s="338" t="s">
        <v>413</v>
      </c>
      <c r="H1751" s="338" t="s">
        <v>412</v>
      </c>
      <c r="I1751" s="338" t="s">
        <v>411</v>
      </c>
      <c r="J1751" s="339"/>
      <c r="K1751" s="339"/>
      <c r="L1751" s="339" t="s">
        <v>409</v>
      </c>
      <c r="M1751" s="339" t="s">
        <v>409</v>
      </c>
      <c r="N1751" s="338" t="s">
        <v>417</v>
      </c>
      <c r="O1751" s="338" t="s">
        <v>409</v>
      </c>
      <c r="P1751" s="338" t="s">
        <v>417</v>
      </c>
    </row>
    <row r="1752" spans="2:16" x14ac:dyDescent="0.25">
      <c r="B1752" s="336" t="s">
        <v>416</v>
      </c>
      <c r="C1752" s="337">
        <v>40527</v>
      </c>
      <c r="D1752" s="338" t="s">
        <v>5944</v>
      </c>
      <c r="E1752" s="338" t="s">
        <v>5884</v>
      </c>
      <c r="F1752" s="338" t="s">
        <v>5943</v>
      </c>
      <c r="G1752" s="338" t="s">
        <v>413</v>
      </c>
      <c r="H1752" s="338" t="s">
        <v>412</v>
      </c>
      <c r="I1752" s="338" t="s">
        <v>411</v>
      </c>
      <c r="J1752" s="339"/>
      <c r="K1752" s="339"/>
      <c r="L1752" s="339"/>
      <c r="M1752" s="339"/>
      <c r="N1752" s="338" t="s">
        <v>410</v>
      </c>
      <c r="O1752" s="338" t="s">
        <v>443</v>
      </c>
      <c r="P1752" s="338" t="s">
        <v>410</v>
      </c>
    </row>
    <row r="1753" spans="2:16" x14ac:dyDescent="0.25">
      <c r="B1753" s="336" t="s">
        <v>542</v>
      </c>
      <c r="C1753" s="337">
        <v>40527</v>
      </c>
      <c r="D1753" s="338" t="s">
        <v>874</v>
      </c>
      <c r="E1753" s="338" t="s">
        <v>539</v>
      </c>
      <c r="F1753" s="338"/>
      <c r="G1753" s="338">
        <v>400</v>
      </c>
      <c r="H1753" s="338"/>
      <c r="I1753" s="338" t="s">
        <v>411</v>
      </c>
      <c r="J1753" s="339">
        <v>4.1741700000000002</v>
      </c>
      <c r="K1753" s="339">
        <v>13.632099999999999</v>
      </c>
      <c r="L1753" s="339" t="s">
        <v>409</v>
      </c>
      <c r="M1753" s="339" t="s">
        <v>409</v>
      </c>
      <c r="N1753" s="338" t="s">
        <v>417</v>
      </c>
      <c r="O1753" s="338" t="s">
        <v>409</v>
      </c>
      <c r="P1753" s="338" t="s">
        <v>417</v>
      </c>
    </row>
    <row r="1754" spans="2:16" x14ac:dyDescent="0.25">
      <c r="B1754" s="336" t="s">
        <v>416</v>
      </c>
      <c r="C1754" s="337">
        <v>40526</v>
      </c>
      <c r="D1754" s="338" t="s">
        <v>5942</v>
      </c>
      <c r="E1754" s="338" t="s">
        <v>485</v>
      </c>
      <c r="F1754" s="338"/>
      <c r="G1754" s="338">
        <v>1.67</v>
      </c>
      <c r="H1754" s="338" t="s">
        <v>425</v>
      </c>
      <c r="I1754" s="338" t="s">
        <v>411</v>
      </c>
      <c r="J1754" s="339"/>
      <c r="K1754" s="339"/>
      <c r="L1754" s="339" t="s">
        <v>409</v>
      </c>
      <c r="M1754" s="339" t="s">
        <v>409</v>
      </c>
      <c r="N1754" s="338" t="s">
        <v>417</v>
      </c>
      <c r="O1754" s="338" t="s">
        <v>409</v>
      </c>
      <c r="P1754" s="338" t="s">
        <v>417</v>
      </c>
    </row>
    <row r="1755" spans="2:16" x14ac:dyDescent="0.25">
      <c r="B1755" s="336" t="s">
        <v>416</v>
      </c>
      <c r="C1755" s="337">
        <v>40525</v>
      </c>
      <c r="D1755" s="338" t="s">
        <v>5941</v>
      </c>
      <c r="E1755" s="338" t="s">
        <v>1217</v>
      </c>
      <c r="F1755" s="338"/>
      <c r="G1755" s="338" t="s">
        <v>413</v>
      </c>
      <c r="H1755" s="338" t="s">
        <v>412</v>
      </c>
      <c r="I1755" s="338" t="s">
        <v>411</v>
      </c>
      <c r="J1755" s="339"/>
      <c r="K1755" s="339"/>
      <c r="L1755" s="339" t="s">
        <v>409</v>
      </c>
      <c r="M1755" s="339" t="s">
        <v>409</v>
      </c>
      <c r="N1755" s="338" t="s">
        <v>417</v>
      </c>
      <c r="O1755" s="338" t="s">
        <v>409</v>
      </c>
      <c r="P1755" s="338" t="s">
        <v>410</v>
      </c>
    </row>
    <row r="1756" spans="2:16" x14ac:dyDescent="0.25">
      <c r="B1756" s="336" t="s">
        <v>416</v>
      </c>
      <c r="C1756" s="337">
        <v>40525</v>
      </c>
      <c r="D1756" s="338" t="s">
        <v>5940</v>
      </c>
      <c r="E1756" s="338" t="s">
        <v>5939</v>
      </c>
      <c r="F1756" s="338"/>
      <c r="G1756" s="338" t="s">
        <v>413</v>
      </c>
      <c r="H1756" s="338" t="s">
        <v>412</v>
      </c>
      <c r="I1756" s="338" t="s">
        <v>411</v>
      </c>
      <c r="J1756" s="339"/>
      <c r="K1756" s="339"/>
      <c r="L1756" s="339" t="s">
        <v>409</v>
      </c>
      <c r="M1756" s="339" t="s">
        <v>409</v>
      </c>
      <c r="N1756" s="338" t="s">
        <v>417</v>
      </c>
      <c r="O1756" s="338" t="s">
        <v>409</v>
      </c>
      <c r="P1756" s="338" t="s">
        <v>417</v>
      </c>
    </row>
    <row r="1757" spans="2:16" x14ac:dyDescent="0.25">
      <c r="B1757" s="336" t="s">
        <v>459</v>
      </c>
      <c r="C1757" s="337">
        <v>40525</v>
      </c>
      <c r="D1757" s="338" t="s">
        <v>5938</v>
      </c>
      <c r="E1757" s="338" t="s">
        <v>5937</v>
      </c>
      <c r="F1757" s="338" t="s">
        <v>5936</v>
      </c>
      <c r="G1757" s="338">
        <v>0.34</v>
      </c>
      <c r="H1757" s="338" t="s">
        <v>425</v>
      </c>
      <c r="I1757" s="338" t="s">
        <v>411</v>
      </c>
      <c r="J1757" s="339"/>
      <c r="K1757" s="339"/>
      <c r="L1757" s="339"/>
      <c r="M1757" s="339"/>
      <c r="N1757" s="338" t="s">
        <v>410</v>
      </c>
      <c r="O1757" s="338" t="s">
        <v>410</v>
      </c>
      <c r="P1757" s="338" t="s">
        <v>417</v>
      </c>
    </row>
    <row r="1758" spans="2:16" x14ac:dyDescent="0.25">
      <c r="B1758" s="336" t="s">
        <v>416</v>
      </c>
      <c r="C1758" s="337">
        <v>40522</v>
      </c>
      <c r="D1758" s="338" t="s">
        <v>3715</v>
      </c>
      <c r="E1758" s="338" t="s">
        <v>453</v>
      </c>
      <c r="F1758" s="338" t="s">
        <v>2991</v>
      </c>
      <c r="G1758" s="338" t="s">
        <v>413</v>
      </c>
      <c r="H1758" s="338" t="s">
        <v>425</v>
      </c>
      <c r="I1758" s="338" t="s">
        <v>411</v>
      </c>
      <c r="J1758" s="339"/>
      <c r="K1758" s="339"/>
      <c r="L1758" s="339"/>
      <c r="M1758" s="339"/>
      <c r="N1758" s="338" t="s">
        <v>417</v>
      </c>
      <c r="O1758" s="338" t="s">
        <v>443</v>
      </c>
      <c r="P1758" s="338" t="s">
        <v>443</v>
      </c>
    </row>
    <row r="1759" spans="2:16" x14ac:dyDescent="0.25">
      <c r="B1759" s="336" t="s">
        <v>416</v>
      </c>
      <c r="C1759" s="337">
        <v>40522</v>
      </c>
      <c r="D1759" s="338" t="s">
        <v>5935</v>
      </c>
      <c r="E1759" s="338" t="s">
        <v>1322</v>
      </c>
      <c r="F1759" s="338"/>
      <c r="G1759" s="338" t="s">
        <v>413</v>
      </c>
      <c r="H1759" s="338" t="s">
        <v>412</v>
      </c>
      <c r="I1759" s="338" t="s">
        <v>411</v>
      </c>
      <c r="J1759" s="339"/>
      <c r="K1759" s="339"/>
      <c r="L1759" s="339" t="s">
        <v>409</v>
      </c>
      <c r="M1759" s="339" t="s">
        <v>409</v>
      </c>
      <c r="N1759" s="338" t="s">
        <v>417</v>
      </c>
      <c r="O1759" s="338" t="s">
        <v>409</v>
      </c>
      <c r="P1759" s="338" t="s">
        <v>417</v>
      </c>
    </row>
    <row r="1760" spans="2:16" x14ac:dyDescent="0.25">
      <c r="B1760" s="336" t="s">
        <v>416</v>
      </c>
      <c r="C1760" s="337">
        <v>40521</v>
      </c>
      <c r="D1760" s="338" t="s">
        <v>5934</v>
      </c>
      <c r="E1760" s="338" t="s">
        <v>1936</v>
      </c>
      <c r="F1760" s="338"/>
      <c r="G1760" s="338" t="s">
        <v>413</v>
      </c>
      <c r="H1760" s="338" t="s">
        <v>425</v>
      </c>
      <c r="I1760" s="338" t="s">
        <v>411</v>
      </c>
      <c r="J1760" s="339"/>
      <c r="K1760" s="339"/>
      <c r="L1760" s="339" t="s">
        <v>409</v>
      </c>
      <c r="M1760" s="339" t="s">
        <v>409</v>
      </c>
      <c r="N1760" s="338" t="s">
        <v>417</v>
      </c>
      <c r="O1760" s="338" t="s">
        <v>409</v>
      </c>
      <c r="P1760" s="338" t="s">
        <v>417</v>
      </c>
    </row>
    <row r="1761" spans="2:16" x14ac:dyDescent="0.25">
      <c r="B1761" s="336" t="s">
        <v>416</v>
      </c>
      <c r="C1761" s="337">
        <v>40521</v>
      </c>
      <c r="D1761" s="338" t="s">
        <v>5933</v>
      </c>
      <c r="E1761" s="338" t="s">
        <v>5932</v>
      </c>
      <c r="F1761" s="338"/>
      <c r="G1761" s="338" t="s">
        <v>413</v>
      </c>
      <c r="H1761" s="338" t="s">
        <v>425</v>
      </c>
      <c r="I1761" s="338" t="s">
        <v>411</v>
      </c>
      <c r="J1761" s="339"/>
      <c r="K1761" s="339"/>
      <c r="L1761" s="339" t="s">
        <v>409</v>
      </c>
      <c r="M1761" s="339" t="s">
        <v>409</v>
      </c>
      <c r="N1761" s="338"/>
      <c r="O1761" s="338" t="s">
        <v>409</v>
      </c>
      <c r="P1761" s="338" t="s">
        <v>417</v>
      </c>
    </row>
    <row r="1762" spans="2:16" x14ac:dyDescent="0.25">
      <c r="B1762" s="336" t="s">
        <v>416</v>
      </c>
      <c r="C1762" s="337">
        <v>40521</v>
      </c>
      <c r="D1762" s="338" t="s">
        <v>5931</v>
      </c>
      <c r="E1762" s="338" t="s">
        <v>1529</v>
      </c>
      <c r="F1762" s="338" t="s">
        <v>4928</v>
      </c>
      <c r="G1762" s="338" t="s">
        <v>413</v>
      </c>
      <c r="H1762" s="338" t="s">
        <v>425</v>
      </c>
      <c r="I1762" s="338" t="s">
        <v>411</v>
      </c>
      <c r="J1762" s="339"/>
      <c r="K1762" s="339"/>
      <c r="L1762" s="339">
        <v>1.1862999999999999</v>
      </c>
      <c r="M1762" s="339">
        <v>8.0235699999999994</v>
      </c>
      <c r="N1762" s="338"/>
      <c r="O1762" s="338" t="s">
        <v>408</v>
      </c>
      <c r="P1762" s="338" t="s">
        <v>410</v>
      </c>
    </row>
    <row r="1763" spans="2:16" x14ac:dyDescent="0.25">
      <c r="B1763" s="336" t="s">
        <v>416</v>
      </c>
      <c r="C1763" s="337">
        <v>40520</v>
      </c>
      <c r="D1763" s="338" t="s">
        <v>5930</v>
      </c>
      <c r="E1763" s="338" t="s">
        <v>1530</v>
      </c>
      <c r="F1763" s="338" t="s">
        <v>5929</v>
      </c>
      <c r="G1763" s="338" t="s">
        <v>413</v>
      </c>
      <c r="H1763" s="338" t="s">
        <v>425</v>
      </c>
      <c r="I1763" s="338" t="s">
        <v>411</v>
      </c>
      <c r="J1763" s="339"/>
      <c r="K1763" s="339"/>
      <c r="L1763" s="339"/>
      <c r="M1763" s="339"/>
      <c r="N1763" s="338"/>
      <c r="O1763" s="338" t="s">
        <v>408</v>
      </c>
      <c r="P1763" s="338" t="s">
        <v>410</v>
      </c>
    </row>
    <row r="1764" spans="2:16" x14ac:dyDescent="0.25">
      <c r="B1764" s="336" t="s">
        <v>416</v>
      </c>
      <c r="C1764" s="337">
        <v>40519</v>
      </c>
      <c r="D1764" s="338" t="s">
        <v>5928</v>
      </c>
      <c r="E1764" s="338" t="s">
        <v>5927</v>
      </c>
      <c r="F1764" s="338" t="s">
        <v>5926</v>
      </c>
      <c r="G1764" s="338" t="s">
        <v>413</v>
      </c>
      <c r="H1764" s="338" t="s">
        <v>425</v>
      </c>
      <c r="I1764" s="338" t="s">
        <v>411</v>
      </c>
      <c r="J1764" s="339"/>
      <c r="K1764" s="339"/>
      <c r="L1764" s="339"/>
      <c r="M1764" s="339"/>
      <c r="N1764" s="338"/>
      <c r="O1764" s="338" t="s">
        <v>417</v>
      </c>
      <c r="P1764" s="338" t="s">
        <v>417</v>
      </c>
    </row>
    <row r="1765" spans="2:16" x14ac:dyDescent="0.25">
      <c r="B1765" s="336" t="s">
        <v>416</v>
      </c>
      <c r="C1765" s="337">
        <v>40519</v>
      </c>
      <c r="D1765" s="338" t="s">
        <v>5925</v>
      </c>
      <c r="E1765" s="338" t="s">
        <v>3004</v>
      </c>
      <c r="F1765" s="338"/>
      <c r="G1765" s="338" t="s">
        <v>413</v>
      </c>
      <c r="H1765" s="338" t="s">
        <v>412</v>
      </c>
      <c r="I1765" s="338" t="s">
        <v>411</v>
      </c>
      <c r="J1765" s="339"/>
      <c r="K1765" s="339"/>
      <c r="L1765" s="339" t="s">
        <v>409</v>
      </c>
      <c r="M1765" s="339" t="s">
        <v>409</v>
      </c>
      <c r="N1765" s="338" t="s">
        <v>482</v>
      </c>
      <c r="O1765" s="338" t="s">
        <v>409</v>
      </c>
      <c r="P1765" s="338" t="s">
        <v>417</v>
      </c>
    </row>
    <row r="1766" spans="2:16" x14ac:dyDescent="0.25">
      <c r="B1766" s="336" t="s">
        <v>416</v>
      </c>
      <c r="C1766" s="337">
        <v>40518</v>
      </c>
      <c r="D1766" s="338" t="s">
        <v>5924</v>
      </c>
      <c r="E1766" s="338" t="s">
        <v>5923</v>
      </c>
      <c r="F1766" s="338" t="s">
        <v>3494</v>
      </c>
      <c r="G1766" s="338" t="s">
        <v>413</v>
      </c>
      <c r="H1766" s="338" t="s">
        <v>425</v>
      </c>
      <c r="I1766" s="338" t="s">
        <v>411</v>
      </c>
      <c r="J1766" s="339"/>
      <c r="K1766" s="339"/>
      <c r="L1766" s="339">
        <v>4.4746899999999998</v>
      </c>
      <c r="M1766" s="339">
        <v>11.501300000000001</v>
      </c>
      <c r="N1766" s="338"/>
      <c r="O1766" s="338" t="s">
        <v>417</v>
      </c>
      <c r="P1766" s="338" t="s">
        <v>443</v>
      </c>
    </row>
    <row r="1767" spans="2:16" x14ac:dyDescent="0.25">
      <c r="B1767" s="336" t="s">
        <v>416</v>
      </c>
      <c r="C1767" s="337">
        <v>40518</v>
      </c>
      <c r="D1767" s="338" t="s">
        <v>945</v>
      </c>
      <c r="E1767" s="338" t="s">
        <v>5922</v>
      </c>
      <c r="F1767" s="338" t="s">
        <v>5921</v>
      </c>
      <c r="G1767" s="338" t="s">
        <v>413</v>
      </c>
      <c r="H1767" s="338" t="s">
        <v>425</v>
      </c>
      <c r="I1767" s="338" t="s">
        <v>411</v>
      </c>
      <c r="J1767" s="339"/>
      <c r="K1767" s="339"/>
      <c r="L1767" s="339"/>
      <c r="M1767" s="339"/>
      <c r="N1767" s="338"/>
      <c r="O1767" s="338"/>
      <c r="P1767" s="338" t="s">
        <v>417</v>
      </c>
    </row>
    <row r="1768" spans="2:16" x14ac:dyDescent="0.25">
      <c r="B1768" s="336" t="s">
        <v>416</v>
      </c>
      <c r="C1768" s="337">
        <v>40518</v>
      </c>
      <c r="D1768" s="338" t="s">
        <v>956</v>
      </c>
      <c r="E1768" s="338" t="s">
        <v>3093</v>
      </c>
      <c r="F1768" s="338" t="s">
        <v>5920</v>
      </c>
      <c r="G1768" s="338" t="s">
        <v>413</v>
      </c>
      <c r="H1768" s="338" t="s">
        <v>425</v>
      </c>
      <c r="I1768" s="338" t="s">
        <v>411</v>
      </c>
      <c r="J1768" s="339"/>
      <c r="K1768" s="339"/>
      <c r="L1768" s="339"/>
      <c r="M1768" s="339"/>
      <c r="N1768" s="338"/>
      <c r="O1768" s="338" t="s">
        <v>487</v>
      </c>
      <c r="P1768" s="338" t="s">
        <v>417</v>
      </c>
    </row>
    <row r="1769" spans="2:16" x14ac:dyDescent="0.25">
      <c r="B1769" s="336" t="s">
        <v>416</v>
      </c>
      <c r="C1769" s="337">
        <v>40515</v>
      </c>
      <c r="D1769" s="338" t="s">
        <v>956</v>
      </c>
      <c r="E1769" s="338" t="s">
        <v>5919</v>
      </c>
      <c r="F1769" s="338" t="s">
        <v>3968</v>
      </c>
      <c r="G1769" s="338">
        <v>120</v>
      </c>
      <c r="H1769" s="338" t="s">
        <v>425</v>
      </c>
      <c r="I1769" s="338" t="s">
        <v>411</v>
      </c>
      <c r="J1769" s="339"/>
      <c r="K1769" s="339"/>
      <c r="L1769" s="339">
        <v>5.7862200000000001</v>
      </c>
      <c r="M1769" s="339">
        <v>9.0870499999999996</v>
      </c>
      <c r="N1769" s="338"/>
      <c r="O1769" s="338" t="s">
        <v>410</v>
      </c>
      <c r="P1769" s="338" t="s">
        <v>432</v>
      </c>
    </row>
    <row r="1770" spans="2:16" x14ac:dyDescent="0.25">
      <c r="B1770" s="336" t="s">
        <v>459</v>
      </c>
      <c r="C1770" s="337">
        <v>40515</v>
      </c>
      <c r="D1770" s="338" t="s">
        <v>5918</v>
      </c>
      <c r="E1770" s="338" t="s">
        <v>5917</v>
      </c>
      <c r="F1770" s="338"/>
      <c r="G1770" s="338">
        <v>1.1000000000000001</v>
      </c>
      <c r="H1770" s="338" t="s">
        <v>425</v>
      </c>
      <c r="I1770" s="338" t="s">
        <v>411</v>
      </c>
      <c r="J1770" s="339"/>
      <c r="K1770" s="339"/>
      <c r="L1770" s="339" t="s">
        <v>409</v>
      </c>
      <c r="M1770" s="339" t="s">
        <v>409</v>
      </c>
      <c r="N1770" s="338" t="s">
        <v>417</v>
      </c>
      <c r="O1770" s="338" t="s">
        <v>409</v>
      </c>
      <c r="P1770" s="338"/>
    </row>
    <row r="1771" spans="2:16" x14ac:dyDescent="0.25">
      <c r="B1771" s="336" t="s">
        <v>416</v>
      </c>
      <c r="C1771" s="337">
        <v>40514</v>
      </c>
      <c r="D1771" s="338" t="s">
        <v>956</v>
      </c>
      <c r="E1771" s="338" t="s">
        <v>477</v>
      </c>
      <c r="F1771" s="338" t="s">
        <v>746</v>
      </c>
      <c r="G1771" s="338" t="s">
        <v>413</v>
      </c>
      <c r="H1771" s="338" t="s">
        <v>425</v>
      </c>
      <c r="I1771" s="338" t="s">
        <v>411</v>
      </c>
      <c r="J1771" s="339"/>
      <c r="K1771" s="339"/>
      <c r="L1771" s="339">
        <v>0.52717000000000003</v>
      </c>
      <c r="M1771" s="339">
        <v>11.2293</v>
      </c>
      <c r="N1771" s="338"/>
      <c r="O1771" s="338" t="s">
        <v>417</v>
      </c>
      <c r="P1771" s="338" t="s">
        <v>417</v>
      </c>
    </row>
    <row r="1772" spans="2:16" x14ac:dyDescent="0.25">
      <c r="B1772" s="336" t="s">
        <v>416</v>
      </c>
      <c r="C1772" s="337">
        <v>40514</v>
      </c>
      <c r="D1772" s="338" t="s">
        <v>5916</v>
      </c>
      <c r="E1772" s="338" t="s">
        <v>746</v>
      </c>
      <c r="F1772" s="338"/>
      <c r="G1772" s="338" t="s">
        <v>413</v>
      </c>
      <c r="H1772" s="338" t="s">
        <v>412</v>
      </c>
      <c r="I1772" s="338" t="s">
        <v>411</v>
      </c>
      <c r="J1772" s="339"/>
      <c r="K1772" s="339"/>
      <c r="L1772" s="339" t="s">
        <v>409</v>
      </c>
      <c r="M1772" s="339" t="s">
        <v>409</v>
      </c>
      <c r="N1772" s="338" t="s">
        <v>417</v>
      </c>
      <c r="O1772" s="338" t="s">
        <v>409</v>
      </c>
      <c r="P1772" s="338" t="s">
        <v>417</v>
      </c>
    </row>
    <row r="1773" spans="2:16" x14ac:dyDescent="0.25">
      <c r="B1773" s="336" t="s">
        <v>416</v>
      </c>
      <c r="C1773" s="337">
        <v>40513</v>
      </c>
      <c r="D1773" s="338" t="s">
        <v>5915</v>
      </c>
      <c r="E1773" s="338" t="s">
        <v>5914</v>
      </c>
      <c r="F1773" s="338" t="s">
        <v>5913</v>
      </c>
      <c r="G1773" s="338" t="s">
        <v>413</v>
      </c>
      <c r="H1773" s="338" t="s">
        <v>425</v>
      </c>
      <c r="I1773" s="338" t="s">
        <v>411</v>
      </c>
      <c r="J1773" s="339"/>
      <c r="K1773" s="339"/>
      <c r="L1773" s="339"/>
      <c r="M1773" s="339"/>
      <c r="N1773" s="338"/>
      <c r="O1773" s="338" t="s">
        <v>417</v>
      </c>
      <c r="P1773" s="338" t="s">
        <v>543</v>
      </c>
    </row>
    <row r="1774" spans="2:16" x14ac:dyDescent="0.25">
      <c r="B1774" s="336" t="s">
        <v>416</v>
      </c>
      <c r="C1774" s="337">
        <v>40513</v>
      </c>
      <c r="D1774" s="338" t="s">
        <v>5912</v>
      </c>
      <c r="E1774" s="338" t="s">
        <v>926</v>
      </c>
      <c r="F1774" s="338" t="s">
        <v>4180</v>
      </c>
      <c r="G1774" s="338">
        <v>248</v>
      </c>
      <c r="H1774" s="338" t="s">
        <v>425</v>
      </c>
      <c r="I1774" s="338" t="s">
        <v>411</v>
      </c>
      <c r="J1774" s="339"/>
      <c r="K1774" s="339"/>
      <c r="L1774" s="339">
        <v>2.0968599999999999</v>
      </c>
      <c r="M1774" s="339">
        <v>3.97241</v>
      </c>
      <c r="N1774" s="338"/>
      <c r="O1774" s="338" t="s">
        <v>408</v>
      </c>
      <c r="P1774" s="338" t="s">
        <v>443</v>
      </c>
    </row>
    <row r="1775" spans="2:16" x14ac:dyDescent="0.25">
      <c r="B1775" s="336" t="s">
        <v>416</v>
      </c>
      <c r="C1775" s="337">
        <v>40513</v>
      </c>
      <c r="D1775" s="338" t="s">
        <v>5911</v>
      </c>
      <c r="E1775" s="338" t="s">
        <v>3574</v>
      </c>
      <c r="F1775" s="338"/>
      <c r="G1775" s="338" t="s">
        <v>413</v>
      </c>
      <c r="H1775" s="338" t="s">
        <v>425</v>
      </c>
      <c r="I1775" s="338" t="s">
        <v>411</v>
      </c>
      <c r="J1775" s="339"/>
      <c r="K1775" s="339"/>
      <c r="L1775" s="339" t="s">
        <v>409</v>
      </c>
      <c r="M1775" s="339" t="s">
        <v>409</v>
      </c>
      <c r="N1775" s="338" t="s">
        <v>410</v>
      </c>
      <c r="O1775" s="338" t="s">
        <v>409</v>
      </c>
      <c r="P1775" s="338" t="s">
        <v>417</v>
      </c>
    </row>
    <row r="1776" spans="2:16" x14ac:dyDescent="0.25">
      <c r="B1776" s="336" t="s">
        <v>416</v>
      </c>
      <c r="C1776" s="337">
        <v>40511</v>
      </c>
      <c r="D1776" s="338" t="s">
        <v>5910</v>
      </c>
      <c r="E1776" s="338" t="s">
        <v>5909</v>
      </c>
      <c r="F1776" s="338" t="s">
        <v>5908</v>
      </c>
      <c r="G1776" s="338">
        <v>1.25</v>
      </c>
      <c r="H1776" s="338" t="s">
        <v>425</v>
      </c>
      <c r="I1776" s="338" t="s">
        <v>411</v>
      </c>
      <c r="J1776" s="339"/>
      <c r="K1776" s="339"/>
      <c r="L1776" s="339"/>
      <c r="M1776" s="339"/>
      <c r="N1776" s="338"/>
      <c r="O1776" s="338" t="s">
        <v>410</v>
      </c>
      <c r="P1776" s="338" t="s">
        <v>417</v>
      </c>
    </row>
    <row r="1777" spans="2:16" x14ac:dyDescent="0.25">
      <c r="B1777" s="336" t="s">
        <v>416</v>
      </c>
      <c r="C1777" s="337">
        <v>40511</v>
      </c>
      <c r="D1777" s="338" t="s">
        <v>5907</v>
      </c>
      <c r="E1777" s="338" t="s">
        <v>5906</v>
      </c>
      <c r="F1777" s="338"/>
      <c r="G1777" s="338" t="s">
        <v>413</v>
      </c>
      <c r="H1777" s="338" t="s">
        <v>425</v>
      </c>
      <c r="I1777" s="338" t="s">
        <v>411</v>
      </c>
      <c r="J1777" s="339"/>
      <c r="K1777" s="339"/>
      <c r="L1777" s="339" t="s">
        <v>409</v>
      </c>
      <c r="M1777" s="339" t="s">
        <v>409</v>
      </c>
      <c r="N1777" s="338" t="s">
        <v>417</v>
      </c>
      <c r="O1777" s="338" t="s">
        <v>409</v>
      </c>
      <c r="P1777" s="338"/>
    </row>
    <row r="1778" spans="2:16" x14ac:dyDescent="0.25">
      <c r="B1778" s="336" t="s">
        <v>416</v>
      </c>
      <c r="C1778" s="337">
        <v>40511</v>
      </c>
      <c r="D1778" s="338" t="s">
        <v>5905</v>
      </c>
      <c r="E1778" s="338" t="s">
        <v>1229</v>
      </c>
      <c r="F1778" s="338"/>
      <c r="G1778" s="338" t="s">
        <v>413</v>
      </c>
      <c r="H1778" s="338" t="s">
        <v>412</v>
      </c>
      <c r="I1778" s="338" t="s">
        <v>411</v>
      </c>
      <c r="J1778" s="339"/>
      <c r="K1778" s="339"/>
      <c r="L1778" s="339" t="s">
        <v>409</v>
      </c>
      <c r="M1778" s="339" t="s">
        <v>409</v>
      </c>
      <c r="N1778" s="338" t="s">
        <v>410</v>
      </c>
      <c r="O1778" s="338" t="s">
        <v>409</v>
      </c>
      <c r="P1778" s="338" t="s">
        <v>410</v>
      </c>
    </row>
    <row r="1779" spans="2:16" x14ac:dyDescent="0.25">
      <c r="B1779" s="336" t="s">
        <v>416</v>
      </c>
      <c r="C1779" s="337">
        <v>40511</v>
      </c>
      <c r="D1779" s="338" t="s">
        <v>956</v>
      </c>
      <c r="E1779" s="338" t="s">
        <v>5904</v>
      </c>
      <c r="F1779" s="338" t="s">
        <v>5903</v>
      </c>
      <c r="G1779" s="338" t="s">
        <v>413</v>
      </c>
      <c r="H1779" s="338" t="s">
        <v>425</v>
      </c>
      <c r="I1779" s="338" t="s">
        <v>411</v>
      </c>
      <c r="J1779" s="339"/>
      <c r="K1779" s="339"/>
      <c r="L1779" s="339"/>
      <c r="M1779" s="339"/>
      <c r="N1779" s="338"/>
      <c r="O1779" s="338" t="s">
        <v>417</v>
      </c>
      <c r="P1779" s="338"/>
    </row>
    <row r="1780" spans="2:16" x14ac:dyDescent="0.25">
      <c r="B1780" s="336" t="s">
        <v>416</v>
      </c>
      <c r="C1780" s="337">
        <v>40508</v>
      </c>
      <c r="D1780" s="338" t="s">
        <v>5902</v>
      </c>
      <c r="E1780" s="338" t="s">
        <v>742</v>
      </c>
      <c r="F1780" s="338"/>
      <c r="G1780" s="338">
        <v>45</v>
      </c>
      <c r="H1780" s="338" t="s">
        <v>425</v>
      </c>
      <c r="I1780" s="338" t="s">
        <v>411</v>
      </c>
      <c r="J1780" s="339"/>
      <c r="K1780" s="339"/>
      <c r="L1780" s="339" t="s">
        <v>409</v>
      </c>
      <c r="M1780" s="339" t="s">
        <v>409</v>
      </c>
      <c r="N1780" s="338"/>
      <c r="O1780" s="338" t="s">
        <v>409</v>
      </c>
      <c r="P1780" s="338" t="s">
        <v>417</v>
      </c>
    </row>
    <row r="1781" spans="2:16" x14ac:dyDescent="0.25">
      <c r="B1781" s="336" t="s">
        <v>416</v>
      </c>
      <c r="C1781" s="337">
        <v>40507</v>
      </c>
      <c r="D1781" s="338" t="s">
        <v>5901</v>
      </c>
      <c r="E1781" s="338" t="s">
        <v>1819</v>
      </c>
      <c r="F1781" s="338" t="s">
        <v>3968</v>
      </c>
      <c r="G1781" s="338">
        <v>67.3</v>
      </c>
      <c r="H1781" s="338" t="s">
        <v>425</v>
      </c>
      <c r="I1781" s="338" t="s">
        <v>411</v>
      </c>
      <c r="J1781" s="339"/>
      <c r="K1781" s="339"/>
      <c r="L1781" s="339">
        <v>5.7862200000000001</v>
      </c>
      <c r="M1781" s="339">
        <v>9.0870499999999996</v>
      </c>
      <c r="N1781" s="338"/>
      <c r="O1781" s="338" t="s">
        <v>410</v>
      </c>
      <c r="P1781" s="338" t="s">
        <v>417</v>
      </c>
    </row>
    <row r="1782" spans="2:16" x14ac:dyDescent="0.25">
      <c r="B1782" s="336" t="s">
        <v>416</v>
      </c>
      <c r="C1782" s="337">
        <v>40505</v>
      </c>
      <c r="D1782" s="338" t="s">
        <v>3033</v>
      </c>
      <c r="E1782" s="338" t="s">
        <v>1229</v>
      </c>
      <c r="F1782" s="338" t="s">
        <v>3032</v>
      </c>
      <c r="G1782" s="338" t="s">
        <v>413</v>
      </c>
      <c r="H1782" s="338" t="s">
        <v>425</v>
      </c>
      <c r="I1782" s="338" t="s">
        <v>411</v>
      </c>
      <c r="J1782" s="339"/>
      <c r="K1782" s="339"/>
      <c r="L1782" s="339">
        <v>7.8449099999999996</v>
      </c>
      <c r="M1782" s="339">
        <v>15.7385</v>
      </c>
      <c r="N1782" s="338" t="s">
        <v>410</v>
      </c>
      <c r="O1782" s="338" t="s">
        <v>443</v>
      </c>
      <c r="P1782" s="338" t="s">
        <v>410</v>
      </c>
    </row>
    <row r="1783" spans="2:16" x14ac:dyDescent="0.25">
      <c r="B1783" s="336" t="s">
        <v>416</v>
      </c>
      <c r="C1783" s="337">
        <v>40505</v>
      </c>
      <c r="D1783" s="338" t="s">
        <v>5900</v>
      </c>
      <c r="E1783" s="338" t="s">
        <v>2804</v>
      </c>
      <c r="F1783" s="338"/>
      <c r="G1783" s="338">
        <v>2637.43</v>
      </c>
      <c r="H1783" s="338" t="s">
        <v>425</v>
      </c>
      <c r="I1783" s="338" t="s">
        <v>411</v>
      </c>
      <c r="J1783" s="339"/>
      <c r="K1783" s="339"/>
      <c r="L1783" s="339" t="s">
        <v>409</v>
      </c>
      <c r="M1783" s="339" t="s">
        <v>409</v>
      </c>
      <c r="N1783" s="338" t="s">
        <v>417</v>
      </c>
      <c r="O1783" s="338" t="s">
        <v>409</v>
      </c>
      <c r="P1783" s="338"/>
    </row>
    <row r="1784" spans="2:16" x14ac:dyDescent="0.25">
      <c r="B1784" s="336" t="s">
        <v>416</v>
      </c>
      <c r="C1784" s="337">
        <v>40505</v>
      </c>
      <c r="D1784" s="338" t="s">
        <v>945</v>
      </c>
      <c r="E1784" s="338" t="s">
        <v>5899</v>
      </c>
      <c r="F1784" s="338" t="s">
        <v>5898</v>
      </c>
      <c r="G1784" s="338" t="s">
        <v>413</v>
      </c>
      <c r="H1784" s="338" t="s">
        <v>425</v>
      </c>
      <c r="I1784" s="338" t="s">
        <v>411</v>
      </c>
      <c r="J1784" s="339"/>
      <c r="K1784" s="339"/>
      <c r="L1784" s="339"/>
      <c r="M1784" s="339"/>
      <c r="N1784" s="338"/>
      <c r="O1784" s="338" t="s">
        <v>417</v>
      </c>
      <c r="P1784" s="338" t="s">
        <v>443</v>
      </c>
    </row>
    <row r="1785" spans="2:16" x14ac:dyDescent="0.25">
      <c r="B1785" s="336" t="s">
        <v>416</v>
      </c>
      <c r="C1785" s="337">
        <v>40504</v>
      </c>
      <c r="D1785" s="338" t="s">
        <v>5897</v>
      </c>
      <c r="E1785" s="338" t="s">
        <v>423</v>
      </c>
      <c r="F1785" s="338" t="s">
        <v>2839</v>
      </c>
      <c r="G1785" s="338">
        <v>2.2400000000000002</v>
      </c>
      <c r="H1785" s="338" t="s">
        <v>336</v>
      </c>
      <c r="I1785" s="338" t="s">
        <v>411</v>
      </c>
      <c r="J1785" s="339"/>
      <c r="K1785" s="339"/>
      <c r="L1785" s="339">
        <v>0.40218500000000001</v>
      </c>
      <c r="M1785" s="339">
        <v>11.9299</v>
      </c>
      <c r="N1785" s="338" t="s">
        <v>417</v>
      </c>
      <c r="O1785" s="338" t="s">
        <v>417</v>
      </c>
      <c r="P1785" s="338"/>
    </row>
    <row r="1786" spans="2:16" x14ac:dyDescent="0.25">
      <c r="B1786" s="336" t="s">
        <v>416</v>
      </c>
      <c r="C1786" s="337">
        <v>40502</v>
      </c>
      <c r="D1786" s="338" t="s">
        <v>5896</v>
      </c>
      <c r="E1786" s="338" t="s">
        <v>5895</v>
      </c>
      <c r="F1786" s="338" t="s">
        <v>5894</v>
      </c>
      <c r="G1786" s="338" t="s">
        <v>413</v>
      </c>
      <c r="H1786" s="338" t="s">
        <v>425</v>
      </c>
      <c r="I1786" s="338" t="s">
        <v>411</v>
      </c>
      <c r="J1786" s="339"/>
      <c r="K1786" s="339"/>
      <c r="L1786" s="339"/>
      <c r="M1786" s="339"/>
      <c r="N1786" s="338"/>
      <c r="O1786" s="338" t="s">
        <v>543</v>
      </c>
      <c r="P1786" s="338"/>
    </row>
    <row r="1787" spans="2:16" x14ac:dyDescent="0.25">
      <c r="B1787" s="336" t="s">
        <v>416</v>
      </c>
      <c r="C1787" s="337">
        <v>40501</v>
      </c>
      <c r="D1787" s="338" t="s">
        <v>5893</v>
      </c>
      <c r="E1787" s="338" t="s">
        <v>656</v>
      </c>
      <c r="F1787" s="338" t="s">
        <v>5892</v>
      </c>
      <c r="G1787" s="338">
        <v>23.56</v>
      </c>
      <c r="H1787" s="338" t="s">
        <v>425</v>
      </c>
      <c r="I1787" s="338" t="s">
        <v>411</v>
      </c>
      <c r="J1787" s="339"/>
      <c r="K1787" s="339"/>
      <c r="L1787" s="339"/>
      <c r="M1787" s="339"/>
      <c r="N1787" s="338"/>
      <c r="O1787" s="338" t="s">
        <v>417</v>
      </c>
      <c r="P1787" s="338" t="s">
        <v>408</v>
      </c>
    </row>
    <row r="1788" spans="2:16" x14ac:dyDescent="0.25">
      <c r="B1788" s="336" t="s">
        <v>416</v>
      </c>
      <c r="C1788" s="337">
        <v>40500</v>
      </c>
      <c r="D1788" s="338" t="s">
        <v>692</v>
      </c>
      <c r="E1788" s="338" t="s">
        <v>5891</v>
      </c>
      <c r="F1788" s="338"/>
      <c r="G1788" s="338" t="s">
        <v>413</v>
      </c>
      <c r="H1788" s="338" t="s">
        <v>412</v>
      </c>
      <c r="I1788" s="338" t="s">
        <v>411</v>
      </c>
      <c r="J1788" s="339"/>
      <c r="K1788" s="339"/>
      <c r="L1788" s="339" t="s">
        <v>409</v>
      </c>
      <c r="M1788" s="339" t="s">
        <v>409</v>
      </c>
      <c r="N1788" s="338"/>
      <c r="O1788" s="338" t="s">
        <v>409</v>
      </c>
      <c r="P1788" s="338" t="s">
        <v>417</v>
      </c>
    </row>
    <row r="1789" spans="2:16" x14ac:dyDescent="0.25">
      <c r="B1789" s="336" t="s">
        <v>416</v>
      </c>
      <c r="C1789" s="337">
        <v>40497</v>
      </c>
      <c r="D1789" s="338" t="s">
        <v>5890</v>
      </c>
      <c r="E1789" s="338" t="s">
        <v>5886</v>
      </c>
      <c r="F1789" s="338" t="s">
        <v>585</v>
      </c>
      <c r="G1789" s="338" t="s">
        <v>413</v>
      </c>
      <c r="H1789" s="338" t="s">
        <v>425</v>
      </c>
      <c r="I1789" s="338" t="s">
        <v>411</v>
      </c>
      <c r="J1789" s="339"/>
      <c r="K1789" s="339"/>
      <c r="L1789" s="339"/>
      <c r="M1789" s="339"/>
      <c r="N1789" s="338" t="s">
        <v>417</v>
      </c>
      <c r="O1789" s="338" t="s">
        <v>443</v>
      </c>
      <c r="P1789" s="338" t="s">
        <v>443</v>
      </c>
    </row>
    <row r="1790" spans="2:16" x14ac:dyDescent="0.25">
      <c r="B1790" s="336" t="s">
        <v>416</v>
      </c>
      <c r="C1790" s="337">
        <v>40497</v>
      </c>
      <c r="D1790" s="338" t="s">
        <v>5889</v>
      </c>
      <c r="E1790" s="338" t="s">
        <v>5888</v>
      </c>
      <c r="F1790" s="338"/>
      <c r="G1790" s="338">
        <v>100</v>
      </c>
      <c r="H1790" s="338" t="s">
        <v>425</v>
      </c>
      <c r="I1790" s="338" t="s">
        <v>411</v>
      </c>
      <c r="J1790" s="339"/>
      <c r="K1790" s="339"/>
      <c r="L1790" s="339" t="s">
        <v>409</v>
      </c>
      <c r="M1790" s="339" t="s">
        <v>409</v>
      </c>
      <c r="N1790" s="338" t="s">
        <v>410</v>
      </c>
      <c r="O1790" s="338" t="s">
        <v>409</v>
      </c>
      <c r="P1790" s="338" t="s">
        <v>410</v>
      </c>
    </row>
    <row r="1791" spans="2:16" x14ac:dyDescent="0.25">
      <c r="B1791" s="336" t="s">
        <v>416</v>
      </c>
      <c r="C1791" s="337">
        <v>40497</v>
      </c>
      <c r="D1791" s="338" t="s">
        <v>5887</v>
      </c>
      <c r="E1791" s="338" t="s">
        <v>5886</v>
      </c>
      <c r="F1791" s="338"/>
      <c r="G1791" s="338" t="s">
        <v>413</v>
      </c>
      <c r="H1791" s="338" t="s">
        <v>425</v>
      </c>
      <c r="I1791" s="338" t="s">
        <v>411</v>
      </c>
      <c r="J1791" s="339">
        <v>0.58642399999999995</v>
      </c>
      <c r="K1791" s="339"/>
      <c r="L1791" s="339" t="s">
        <v>409</v>
      </c>
      <c r="M1791" s="339" t="s">
        <v>409</v>
      </c>
      <c r="N1791" s="338" t="s">
        <v>417</v>
      </c>
      <c r="O1791" s="338" t="s">
        <v>409</v>
      </c>
      <c r="P1791" s="338" t="s">
        <v>443</v>
      </c>
    </row>
    <row r="1792" spans="2:16" x14ac:dyDescent="0.25">
      <c r="B1792" s="336" t="s">
        <v>416</v>
      </c>
      <c r="C1792" s="337">
        <v>40497</v>
      </c>
      <c r="D1792" s="338" t="s">
        <v>5885</v>
      </c>
      <c r="E1792" s="338" t="s">
        <v>5884</v>
      </c>
      <c r="F1792" s="338"/>
      <c r="G1792" s="338" t="s">
        <v>413</v>
      </c>
      <c r="H1792" s="338" t="s">
        <v>412</v>
      </c>
      <c r="I1792" s="338" t="s">
        <v>411</v>
      </c>
      <c r="J1792" s="339"/>
      <c r="K1792" s="339"/>
      <c r="L1792" s="339" t="s">
        <v>409</v>
      </c>
      <c r="M1792" s="339" t="s">
        <v>409</v>
      </c>
      <c r="N1792" s="338" t="s">
        <v>417</v>
      </c>
      <c r="O1792" s="338" t="s">
        <v>409</v>
      </c>
      <c r="P1792" s="338" t="s">
        <v>410</v>
      </c>
    </row>
    <row r="1793" spans="2:16" x14ac:dyDescent="0.25">
      <c r="B1793" s="336" t="s">
        <v>459</v>
      </c>
      <c r="C1793" s="337">
        <v>40497</v>
      </c>
      <c r="D1793" s="338" t="s">
        <v>4622</v>
      </c>
      <c r="E1793" s="338" t="s">
        <v>5883</v>
      </c>
      <c r="F1793" s="338"/>
      <c r="G1793" s="338">
        <v>5.5</v>
      </c>
      <c r="H1793" s="338" t="s">
        <v>425</v>
      </c>
      <c r="I1793" s="338" t="s">
        <v>411</v>
      </c>
      <c r="J1793" s="339"/>
      <c r="K1793" s="339"/>
      <c r="L1793" s="339" t="s">
        <v>409</v>
      </c>
      <c r="M1793" s="339" t="s">
        <v>409</v>
      </c>
      <c r="N1793" s="338" t="s">
        <v>417</v>
      </c>
      <c r="O1793" s="338" t="s">
        <v>409</v>
      </c>
      <c r="P1793" s="338"/>
    </row>
    <row r="1794" spans="2:16" x14ac:dyDescent="0.25">
      <c r="B1794" s="336" t="s">
        <v>416</v>
      </c>
      <c r="C1794" s="337">
        <v>40493</v>
      </c>
      <c r="D1794" s="338" t="s">
        <v>5882</v>
      </c>
      <c r="E1794" s="338" t="s">
        <v>5881</v>
      </c>
      <c r="F1794" s="338"/>
      <c r="G1794" s="338" t="s">
        <v>413</v>
      </c>
      <c r="H1794" s="338" t="s">
        <v>412</v>
      </c>
      <c r="I1794" s="338" t="s">
        <v>411</v>
      </c>
      <c r="J1794" s="339"/>
      <c r="K1794" s="339"/>
      <c r="L1794" s="339" t="s">
        <v>409</v>
      </c>
      <c r="M1794" s="339" t="s">
        <v>409</v>
      </c>
      <c r="N1794" s="338" t="s">
        <v>417</v>
      </c>
      <c r="O1794" s="338" t="s">
        <v>409</v>
      </c>
      <c r="P1794" s="338" t="s">
        <v>410</v>
      </c>
    </row>
    <row r="1795" spans="2:16" x14ac:dyDescent="0.25">
      <c r="B1795" s="336" t="s">
        <v>1441</v>
      </c>
      <c r="C1795" s="337">
        <v>40492</v>
      </c>
      <c r="D1795" s="338" t="s">
        <v>5880</v>
      </c>
      <c r="E1795" s="338" t="s">
        <v>5879</v>
      </c>
      <c r="F1795" s="338"/>
      <c r="G1795" s="338" t="s">
        <v>413</v>
      </c>
      <c r="H1795" s="338" t="s">
        <v>412</v>
      </c>
      <c r="I1795" s="338" t="s">
        <v>411</v>
      </c>
      <c r="J1795" s="339">
        <v>1.31911</v>
      </c>
      <c r="K1795" s="339">
        <v>8.2403700000000004</v>
      </c>
      <c r="L1795" s="339" t="s">
        <v>409</v>
      </c>
      <c r="M1795" s="339" t="s">
        <v>409</v>
      </c>
      <c r="N1795" s="338" t="s">
        <v>417</v>
      </c>
      <c r="O1795" s="338" t="s">
        <v>409</v>
      </c>
      <c r="P1795" s="338" t="s">
        <v>410</v>
      </c>
    </row>
    <row r="1796" spans="2:16" x14ac:dyDescent="0.25">
      <c r="B1796" s="336" t="s">
        <v>416</v>
      </c>
      <c r="C1796" s="337">
        <v>40491</v>
      </c>
      <c r="D1796" s="338" t="s">
        <v>5878</v>
      </c>
      <c r="E1796" s="338" t="s">
        <v>2648</v>
      </c>
      <c r="F1796" s="338"/>
      <c r="G1796" s="338" t="s">
        <v>413</v>
      </c>
      <c r="H1796" s="338" t="s">
        <v>425</v>
      </c>
      <c r="I1796" s="338" t="s">
        <v>411</v>
      </c>
      <c r="J1796" s="339"/>
      <c r="K1796" s="339"/>
      <c r="L1796" s="339" t="s">
        <v>409</v>
      </c>
      <c r="M1796" s="339" t="s">
        <v>409</v>
      </c>
      <c r="N1796" s="338" t="s">
        <v>417</v>
      </c>
      <c r="O1796" s="338" t="s">
        <v>409</v>
      </c>
      <c r="P1796" s="338" t="s">
        <v>443</v>
      </c>
    </row>
    <row r="1797" spans="2:16" x14ac:dyDescent="0.25">
      <c r="B1797" s="336" t="s">
        <v>416</v>
      </c>
      <c r="C1797" s="337">
        <v>40491</v>
      </c>
      <c r="D1797" s="338" t="s">
        <v>5877</v>
      </c>
      <c r="E1797" s="338" t="s">
        <v>2078</v>
      </c>
      <c r="F1797" s="338" t="s">
        <v>5876</v>
      </c>
      <c r="G1797" s="338">
        <v>11</v>
      </c>
      <c r="H1797" s="338" t="s">
        <v>425</v>
      </c>
      <c r="I1797" s="338" t="s">
        <v>411</v>
      </c>
      <c r="J1797" s="339"/>
      <c r="K1797" s="339"/>
      <c r="L1797" s="339">
        <v>0.42460100000000001</v>
      </c>
      <c r="M1797" s="339">
        <v>14.7193</v>
      </c>
      <c r="N1797" s="338" t="s">
        <v>487</v>
      </c>
      <c r="O1797" s="338" t="s">
        <v>487</v>
      </c>
      <c r="P1797" s="338" t="s">
        <v>417</v>
      </c>
    </row>
    <row r="1798" spans="2:16" x14ac:dyDescent="0.25">
      <c r="B1798" s="336" t="s">
        <v>416</v>
      </c>
      <c r="C1798" s="337">
        <v>40491</v>
      </c>
      <c r="D1798" s="338" t="s">
        <v>5875</v>
      </c>
      <c r="E1798" s="338" t="s">
        <v>2626</v>
      </c>
      <c r="F1798" s="338"/>
      <c r="G1798" s="338" t="s">
        <v>413</v>
      </c>
      <c r="H1798" s="338" t="s">
        <v>412</v>
      </c>
      <c r="I1798" s="338" t="s">
        <v>411</v>
      </c>
      <c r="J1798" s="339"/>
      <c r="K1798" s="339"/>
      <c r="L1798" s="339" t="s">
        <v>409</v>
      </c>
      <c r="M1798" s="339" t="s">
        <v>409</v>
      </c>
      <c r="N1798" s="338" t="s">
        <v>417</v>
      </c>
      <c r="O1798" s="338" t="s">
        <v>409</v>
      </c>
      <c r="P1798" s="338" t="s">
        <v>417</v>
      </c>
    </row>
    <row r="1799" spans="2:16" x14ac:dyDescent="0.25">
      <c r="B1799" s="336" t="s">
        <v>416</v>
      </c>
      <c r="C1799" s="337">
        <v>40491</v>
      </c>
      <c r="D1799" s="338" t="s">
        <v>5874</v>
      </c>
      <c r="E1799" s="338" t="s">
        <v>5873</v>
      </c>
      <c r="F1799" s="338" t="s">
        <v>5872</v>
      </c>
      <c r="G1799" s="338" t="s">
        <v>413</v>
      </c>
      <c r="H1799" s="338" t="s">
        <v>412</v>
      </c>
      <c r="I1799" s="338" t="s">
        <v>411</v>
      </c>
      <c r="J1799" s="339"/>
      <c r="K1799" s="339"/>
      <c r="L1799" s="339"/>
      <c r="M1799" s="339"/>
      <c r="N1799" s="338" t="s">
        <v>410</v>
      </c>
      <c r="O1799" s="338" t="s">
        <v>410</v>
      </c>
      <c r="P1799" s="338" t="s">
        <v>410</v>
      </c>
    </row>
    <row r="1800" spans="2:16" x14ac:dyDescent="0.25">
      <c r="B1800" s="336" t="s">
        <v>416</v>
      </c>
      <c r="C1800" s="337">
        <v>40486</v>
      </c>
      <c r="D1800" s="338" t="s">
        <v>956</v>
      </c>
      <c r="E1800" s="338" t="s">
        <v>477</v>
      </c>
      <c r="F1800" s="338" t="s">
        <v>5871</v>
      </c>
      <c r="G1800" s="338">
        <v>5.6</v>
      </c>
      <c r="H1800" s="338" t="s">
        <v>425</v>
      </c>
      <c r="I1800" s="338" t="s">
        <v>411</v>
      </c>
      <c r="J1800" s="339"/>
      <c r="K1800" s="339"/>
      <c r="L1800" s="339"/>
      <c r="M1800" s="339"/>
      <c r="N1800" s="338"/>
      <c r="O1800" s="338" t="s">
        <v>417</v>
      </c>
      <c r="P1800" s="338" t="s">
        <v>417</v>
      </c>
    </row>
    <row r="1801" spans="2:16" x14ac:dyDescent="0.25">
      <c r="B1801" s="336" t="s">
        <v>459</v>
      </c>
      <c r="C1801" s="337">
        <v>40486</v>
      </c>
      <c r="D1801" s="338" t="s">
        <v>1568</v>
      </c>
      <c r="E1801" s="338" t="s">
        <v>3121</v>
      </c>
      <c r="F1801" s="338"/>
      <c r="G1801" s="338">
        <v>16</v>
      </c>
      <c r="H1801" s="338" t="s">
        <v>425</v>
      </c>
      <c r="I1801" s="338" t="s">
        <v>411</v>
      </c>
      <c r="J1801" s="339"/>
      <c r="K1801" s="339"/>
      <c r="L1801" s="339" t="s">
        <v>409</v>
      </c>
      <c r="M1801" s="339" t="s">
        <v>409</v>
      </c>
      <c r="N1801" s="338" t="s">
        <v>432</v>
      </c>
      <c r="O1801" s="338" t="s">
        <v>409</v>
      </c>
      <c r="P1801" s="338"/>
    </row>
    <row r="1802" spans="2:16" x14ac:dyDescent="0.25">
      <c r="B1802" s="336" t="s">
        <v>416</v>
      </c>
      <c r="C1802" s="337">
        <v>40486</v>
      </c>
      <c r="D1802" s="338" t="s">
        <v>5870</v>
      </c>
      <c r="E1802" s="338" t="s">
        <v>2209</v>
      </c>
      <c r="F1802" s="338"/>
      <c r="G1802" s="338">
        <v>0.62</v>
      </c>
      <c r="H1802" s="338" t="s">
        <v>336</v>
      </c>
      <c r="I1802" s="338" t="s">
        <v>411</v>
      </c>
      <c r="J1802" s="339"/>
      <c r="K1802" s="339"/>
      <c r="L1802" s="339" t="s">
        <v>409</v>
      </c>
      <c r="M1802" s="339" t="s">
        <v>409</v>
      </c>
      <c r="N1802" s="338"/>
      <c r="O1802" s="338" t="s">
        <v>409</v>
      </c>
      <c r="P1802" s="338" t="s">
        <v>410</v>
      </c>
    </row>
    <row r="1803" spans="2:16" x14ac:dyDescent="0.25">
      <c r="B1803" s="336" t="s">
        <v>416</v>
      </c>
      <c r="C1803" s="337">
        <v>40485</v>
      </c>
      <c r="D1803" s="338" t="s">
        <v>956</v>
      </c>
      <c r="E1803" s="338" t="s">
        <v>1225</v>
      </c>
      <c r="F1803" s="338" t="s">
        <v>5869</v>
      </c>
      <c r="G1803" s="338" t="s">
        <v>413</v>
      </c>
      <c r="H1803" s="338" t="s">
        <v>425</v>
      </c>
      <c r="I1803" s="338" t="s">
        <v>411</v>
      </c>
      <c r="J1803" s="339"/>
      <c r="K1803" s="339"/>
      <c r="L1803" s="339"/>
      <c r="M1803" s="339"/>
      <c r="N1803" s="338"/>
      <c r="O1803" s="338" t="s">
        <v>417</v>
      </c>
      <c r="P1803" s="338" t="s">
        <v>417</v>
      </c>
    </row>
    <row r="1804" spans="2:16" x14ac:dyDescent="0.25">
      <c r="B1804" s="336" t="s">
        <v>416</v>
      </c>
      <c r="C1804" s="337">
        <v>40485</v>
      </c>
      <c r="D1804" s="338" t="s">
        <v>5868</v>
      </c>
      <c r="E1804" s="338" t="s">
        <v>5867</v>
      </c>
      <c r="F1804" s="338"/>
      <c r="G1804" s="338" t="s">
        <v>413</v>
      </c>
      <c r="H1804" s="338" t="s">
        <v>412</v>
      </c>
      <c r="I1804" s="338" t="s">
        <v>411</v>
      </c>
      <c r="J1804" s="339"/>
      <c r="K1804" s="339"/>
      <c r="L1804" s="339" t="s">
        <v>409</v>
      </c>
      <c r="M1804" s="339" t="s">
        <v>409</v>
      </c>
      <c r="N1804" s="338" t="s">
        <v>417</v>
      </c>
      <c r="O1804" s="338" t="s">
        <v>409</v>
      </c>
      <c r="P1804" s="338" t="s">
        <v>487</v>
      </c>
    </row>
    <row r="1805" spans="2:16" x14ac:dyDescent="0.25">
      <c r="B1805" s="336" t="s">
        <v>416</v>
      </c>
      <c r="C1805" s="337">
        <v>40483</v>
      </c>
      <c r="D1805" s="338" t="s">
        <v>5866</v>
      </c>
      <c r="E1805" s="338" t="s">
        <v>5865</v>
      </c>
      <c r="F1805" s="338" t="s">
        <v>5864</v>
      </c>
      <c r="G1805" s="338" t="s">
        <v>413</v>
      </c>
      <c r="H1805" s="338" t="s">
        <v>425</v>
      </c>
      <c r="I1805" s="338" t="s">
        <v>411</v>
      </c>
      <c r="J1805" s="339"/>
      <c r="K1805" s="339"/>
      <c r="L1805" s="339"/>
      <c r="M1805" s="339"/>
      <c r="N1805" s="338"/>
      <c r="O1805" s="338" t="s">
        <v>417</v>
      </c>
      <c r="P1805" s="338" t="s">
        <v>432</v>
      </c>
    </row>
    <row r="1806" spans="2:16" x14ac:dyDescent="0.25">
      <c r="B1806" s="336" t="s">
        <v>416</v>
      </c>
      <c r="C1806" s="337">
        <v>40483</v>
      </c>
      <c r="D1806" s="338" t="s">
        <v>5863</v>
      </c>
      <c r="E1806" s="338" t="s">
        <v>5862</v>
      </c>
      <c r="F1806" s="338"/>
      <c r="G1806" s="338" t="s">
        <v>413</v>
      </c>
      <c r="H1806" s="338" t="s">
        <v>412</v>
      </c>
      <c r="I1806" s="338" t="s">
        <v>411</v>
      </c>
      <c r="J1806" s="339"/>
      <c r="K1806" s="339"/>
      <c r="L1806" s="339" t="s">
        <v>409</v>
      </c>
      <c r="M1806" s="339" t="s">
        <v>409</v>
      </c>
      <c r="N1806" s="338" t="s">
        <v>417</v>
      </c>
      <c r="O1806" s="338" t="s">
        <v>409</v>
      </c>
      <c r="P1806" s="338" t="s">
        <v>417</v>
      </c>
    </row>
    <row r="1807" spans="2:16" x14ac:dyDescent="0.25">
      <c r="B1807" s="336" t="s">
        <v>416</v>
      </c>
      <c r="C1807" s="337">
        <v>40482</v>
      </c>
      <c r="D1807" s="338" t="s">
        <v>945</v>
      </c>
      <c r="E1807" s="338" t="s">
        <v>916</v>
      </c>
      <c r="F1807" s="338" t="s">
        <v>1641</v>
      </c>
      <c r="G1807" s="338">
        <v>76.599999999999994</v>
      </c>
      <c r="H1807" s="338" t="s">
        <v>425</v>
      </c>
      <c r="I1807" s="338" t="s">
        <v>411</v>
      </c>
      <c r="J1807" s="339"/>
      <c r="K1807" s="339"/>
      <c r="L1807" s="339"/>
      <c r="M1807" s="339"/>
      <c r="N1807" s="338"/>
      <c r="O1807" s="338" t="s">
        <v>417</v>
      </c>
      <c r="P1807" s="338" t="s">
        <v>417</v>
      </c>
    </row>
    <row r="1808" spans="2:16" x14ac:dyDescent="0.25">
      <c r="B1808" s="336" t="s">
        <v>416</v>
      </c>
      <c r="C1808" s="337">
        <v>40480</v>
      </c>
      <c r="D1808" s="338" t="s">
        <v>5861</v>
      </c>
      <c r="E1808" s="338" t="s">
        <v>5709</v>
      </c>
      <c r="F1808" s="338"/>
      <c r="G1808" s="338" t="s">
        <v>413</v>
      </c>
      <c r="H1808" s="338" t="s">
        <v>412</v>
      </c>
      <c r="I1808" s="338" t="s">
        <v>411</v>
      </c>
      <c r="J1808" s="339"/>
      <c r="K1808" s="339"/>
      <c r="L1808" s="339" t="s">
        <v>409</v>
      </c>
      <c r="M1808" s="339" t="s">
        <v>409</v>
      </c>
      <c r="N1808" s="338" t="s">
        <v>410</v>
      </c>
      <c r="O1808" s="338" t="s">
        <v>409</v>
      </c>
      <c r="P1808" s="338" t="s">
        <v>410</v>
      </c>
    </row>
    <row r="1809" spans="2:16" x14ac:dyDescent="0.25">
      <c r="B1809" s="336" t="s">
        <v>416</v>
      </c>
      <c r="C1809" s="337">
        <v>40480</v>
      </c>
      <c r="D1809" s="338" t="s">
        <v>4161</v>
      </c>
      <c r="E1809" s="338" t="s">
        <v>5860</v>
      </c>
      <c r="F1809" s="338"/>
      <c r="G1809" s="338">
        <v>5.31</v>
      </c>
      <c r="H1809" s="338" t="s">
        <v>425</v>
      </c>
      <c r="I1809" s="338" t="s">
        <v>411</v>
      </c>
      <c r="J1809" s="339">
        <v>0.31948300000000002</v>
      </c>
      <c r="K1809" s="339">
        <v>23.668600000000001</v>
      </c>
      <c r="L1809" s="339" t="s">
        <v>409</v>
      </c>
      <c r="M1809" s="339" t="s">
        <v>409</v>
      </c>
      <c r="N1809" s="338" t="s">
        <v>417</v>
      </c>
      <c r="O1809" s="338" t="s">
        <v>409</v>
      </c>
      <c r="P1809" s="338" t="s">
        <v>417</v>
      </c>
    </row>
    <row r="1810" spans="2:16" x14ac:dyDescent="0.25">
      <c r="B1810" s="336" t="s">
        <v>416</v>
      </c>
      <c r="C1810" s="337">
        <v>40479</v>
      </c>
      <c r="D1810" s="338" t="s">
        <v>5859</v>
      </c>
      <c r="E1810" s="338" t="s">
        <v>4907</v>
      </c>
      <c r="F1810" s="338"/>
      <c r="G1810" s="338" t="s">
        <v>413</v>
      </c>
      <c r="H1810" s="338" t="s">
        <v>425</v>
      </c>
      <c r="I1810" s="338" t="s">
        <v>411</v>
      </c>
      <c r="J1810" s="339"/>
      <c r="K1810" s="339"/>
      <c r="L1810" s="339" t="s">
        <v>409</v>
      </c>
      <c r="M1810" s="339" t="s">
        <v>409</v>
      </c>
      <c r="N1810" s="338"/>
      <c r="O1810" s="338" t="s">
        <v>409</v>
      </c>
      <c r="P1810" s="338" t="s">
        <v>417</v>
      </c>
    </row>
    <row r="1811" spans="2:16" x14ac:dyDescent="0.25">
      <c r="B1811" s="336" t="s">
        <v>416</v>
      </c>
      <c r="C1811" s="337">
        <v>40479</v>
      </c>
      <c r="D1811" s="338" t="s">
        <v>5858</v>
      </c>
      <c r="E1811" s="338" t="s">
        <v>1225</v>
      </c>
      <c r="F1811" s="338" t="s">
        <v>5857</v>
      </c>
      <c r="G1811" s="338" t="s">
        <v>413</v>
      </c>
      <c r="H1811" s="338" t="s">
        <v>425</v>
      </c>
      <c r="I1811" s="338" t="s">
        <v>411</v>
      </c>
      <c r="J1811" s="339"/>
      <c r="K1811" s="339"/>
      <c r="L1811" s="339"/>
      <c r="M1811" s="339"/>
      <c r="N1811" s="338"/>
      <c r="O1811" s="338" t="s">
        <v>417</v>
      </c>
      <c r="P1811" s="338" t="s">
        <v>417</v>
      </c>
    </row>
    <row r="1812" spans="2:16" x14ac:dyDescent="0.25">
      <c r="B1812" s="336" t="s">
        <v>416</v>
      </c>
      <c r="C1812" s="337">
        <v>40479</v>
      </c>
      <c r="D1812" s="338" t="s">
        <v>5856</v>
      </c>
      <c r="E1812" s="338" t="s">
        <v>1510</v>
      </c>
      <c r="F1812" s="338" t="s">
        <v>5855</v>
      </c>
      <c r="G1812" s="338" t="s">
        <v>413</v>
      </c>
      <c r="H1812" s="338" t="s">
        <v>412</v>
      </c>
      <c r="I1812" s="338" t="s">
        <v>411</v>
      </c>
      <c r="J1812" s="339"/>
      <c r="K1812" s="339"/>
      <c r="L1812" s="339"/>
      <c r="M1812" s="339"/>
      <c r="N1812" s="338" t="s">
        <v>487</v>
      </c>
      <c r="O1812" s="338" t="s">
        <v>443</v>
      </c>
      <c r="P1812" s="338" t="s">
        <v>417</v>
      </c>
    </row>
    <row r="1813" spans="2:16" x14ac:dyDescent="0.25">
      <c r="B1813" s="336" t="s">
        <v>416</v>
      </c>
      <c r="C1813" s="337">
        <v>40477</v>
      </c>
      <c r="D1813" s="338" t="s">
        <v>5854</v>
      </c>
      <c r="E1813" s="338" t="s">
        <v>5103</v>
      </c>
      <c r="F1813" s="338"/>
      <c r="G1813" s="338" t="s">
        <v>413</v>
      </c>
      <c r="H1813" s="338" t="s">
        <v>412</v>
      </c>
      <c r="I1813" s="338" t="s">
        <v>411</v>
      </c>
      <c r="J1813" s="339"/>
      <c r="K1813" s="339"/>
      <c r="L1813" s="339" t="s">
        <v>409</v>
      </c>
      <c r="M1813" s="339" t="s">
        <v>409</v>
      </c>
      <c r="N1813" s="338" t="s">
        <v>417</v>
      </c>
      <c r="O1813" s="338" t="s">
        <v>409</v>
      </c>
      <c r="P1813" s="338" t="s">
        <v>417</v>
      </c>
    </row>
    <row r="1814" spans="2:16" x14ac:dyDescent="0.25">
      <c r="B1814" s="336" t="s">
        <v>459</v>
      </c>
      <c r="C1814" s="337">
        <v>40476</v>
      </c>
      <c r="D1814" s="338" t="s">
        <v>5853</v>
      </c>
      <c r="E1814" s="338" t="s">
        <v>5852</v>
      </c>
      <c r="F1814" s="338"/>
      <c r="G1814" s="338">
        <v>380</v>
      </c>
      <c r="H1814" s="338" t="s">
        <v>425</v>
      </c>
      <c r="I1814" s="338" t="s">
        <v>411</v>
      </c>
      <c r="J1814" s="339">
        <v>9.9055700000000009</v>
      </c>
      <c r="K1814" s="339">
        <v>11.4587</v>
      </c>
      <c r="L1814" s="339" t="s">
        <v>409</v>
      </c>
      <c r="M1814" s="339" t="s">
        <v>409</v>
      </c>
      <c r="N1814" s="338" t="s">
        <v>443</v>
      </c>
      <c r="O1814" s="338" t="s">
        <v>409</v>
      </c>
      <c r="P1814" s="338" t="s">
        <v>443</v>
      </c>
    </row>
    <row r="1815" spans="2:16" x14ac:dyDescent="0.25">
      <c r="B1815" s="336" t="s">
        <v>416</v>
      </c>
      <c r="C1815" s="337">
        <v>40476</v>
      </c>
      <c r="D1815" s="338" t="s">
        <v>5851</v>
      </c>
      <c r="E1815" s="338" t="s">
        <v>761</v>
      </c>
      <c r="F1815" s="338" t="s">
        <v>5850</v>
      </c>
      <c r="G1815" s="338">
        <v>63</v>
      </c>
      <c r="H1815" s="338" t="s">
        <v>425</v>
      </c>
      <c r="I1815" s="338" t="s">
        <v>411</v>
      </c>
      <c r="J1815" s="339"/>
      <c r="K1815" s="339"/>
      <c r="L1815" s="339"/>
      <c r="M1815" s="339"/>
      <c r="N1815" s="338"/>
      <c r="O1815" s="338" t="s">
        <v>417</v>
      </c>
      <c r="P1815" s="338" t="s">
        <v>417</v>
      </c>
    </row>
    <row r="1816" spans="2:16" x14ac:dyDescent="0.25">
      <c r="B1816" s="336" t="s">
        <v>416</v>
      </c>
      <c r="C1816" s="337">
        <v>40472</v>
      </c>
      <c r="D1816" s="338" t="s">
        <v>5849</v>
      </c>
      <c r="E1816" s="338" t="s">
        <v>1079</v>
      </c>
      <c r="F1816" s="338" t="s">
        <v>5848</v>
      </c>
      <c r="G1816" s="338" t="s">
        <v>413</v>
      </c>
      <c r="H1816" s="338" t="s">
        <v>412</v>
      </c>
      <c r="I1816" s="338" t="s">
        <v>411</v>
      </c>
      <c r="J1816" s="339"/>
      <c r="K1816" s="339"/>
      <c r="L1816" s="339"/>
      <c r="M1816" s="339"/>
      <c r="N1816" s="338" t="s">
        <v>417</v>
      </c>
      <c r="O1816" s="338" t="s">
        <v>443</v>
      </c>
      <c r="P1816" s="338" t="s">
        <v>417</v>
      </c>
    </row>
    <row r="1817" spans="2:16" x14ac:dyDescent="0.25">
      <c r="B1817" s="336" t="s">
        <v>416</v>
      </c>
      <c r="C1817" s="337">
        <v>40472</v>
      </c>
      <c r="D1817" s="338" t="s">
        <v>5847</v>
      </c>
      <c r="E1817" s="338" t="s">
        <v>5484</v>
      </c>
      <c r="F1817" s="338"/>
      <c r="G1817" s="338" t="s">
        <v>413</v>
      </c>
      <c r="H1817" s="338" t="s">
        <v>425</v>
      </c>
      <c r="I1817" s="338" t="s">
        <v>411</v>
      </c>
      <c r="J1817" s="339"/>
      <c r="K1817" s="339"/>
      <c r="L1817" s="339" t="s">
        <v>409</v>
      </c>
      <c r="M1817" s="339" t="s">
        <v>409</v>
      </c>
      <c r="N1817" s="338"/>
      <c r="O1817" s="338" t="s">
        <v>409</v>
      </c>
      <c r="P1817" s="338" t="s">
        <v>417</v>
      </c>
    </row>
    <row r="1818" spans="2:16" x14ac:dyDescent="0.25">
      <c r="B1818" s="336" t="s">
        <v>459</v>
      </c>
      <c r="C1818" s="337">
        <v>40470</v>
      </c>
      <c r="D1818" s="338" t="s">
        <v>5846</v>
      </c>
      <c r="E1818" s="338" t="s">
        <v>5845</v>
      </c>
      <c r="F1818" s="338"/>
      <c r="G1818" s="338" t="s">
        <v>413</v>
      </c>
      <c r="H1818" s="338" t="s">
        <v>412</v>
      </c>
      <c r="I1818" s="338" t="s">
        <v>411</v>
      </c>
      <c r="J1818" s="339"/>
      <c r="K1818" s="339"/>
      <c r="L1818" s="339" t="s">
        <v>409</v>
      </c>
      <c r="M1818" s="339" t="s">
        <v>409</v>
      </c>
      <c r="N1818" s="338" t="s">
        <v>417</v>
      </c>
      <c r="O1818" s="338" t="s">
        <v>409</v>
      </c>
      <c r="P1818" s="338" t="s">
        <v>432</v>
      </c>
    </row>
    <row r="1819" spans="2:16" x14ac:dyDescent="0.25">
      <c r="B1819" s="336" t="s">
        <v>459</v>
      </c>
      <c r="C1819" s="337">
        <v>40470</v>
      </c>
      <c r="D1819" s="338" t="s">
        <v>5844</v>
      </c>
      <c r="E1819" s="338" t="s">
        <v>514</v>
      </c>
      <c r="F1819" s="338"/>
      <c r="G1819" s="338" t="s">
        <v>413</v>
      </c>
      <c r="H1819" s="338" t="s">
        <v>425</v>
      </c>
      <c r="I1819" s="338" t="s">
        <v>411</v>
      </c>
      <c r="J1819" s="339"/>
      <c r="K1819" s="339"/>
      <c r="L1819" s="339" t="s">
        <v>409</v>
      </c>
      <c r="M1819" s="339" t="s">
        <v>409</v>
      </c>
      <c r="N1819" s="338" t="s">
        <v>417</v>
      </c>
      <c r="O1819" s="338" t="s">
        <v>409</v>
      </c>
      <c r="P1819" s="338"/>
    </row>
    <row r="1820" spans="2:16" x14ac:dyDescent="0.25">
      <c r="B1820" s="336" t="s">
        <v>1441</v>
      </c>
      <c r="C1820" s="337">
        <v>40470</v>
      </c>
      <c r="D1820" s="338" t="s">
        <v>5843</v>
      </c>
      <c r="E1820" s="338" t="s">
        <v>5842</v>
      </c>
      <c r="F1820" s="338"/>
      <c r="G1820" s="338" t="s">
        <v>413</v>
      </c>
      <c r="H1820" s="338" t="s">
        <v>412</v>
      </c>
      <c r="I1820" s="338" t="s">
        <v>411</v>
      </c>
      <c r="J1820" s="339"/>
      <c r="K1820" s="339"/>
      <c r="L1820" s="339" t="s">
        <v>409</v>
      </c>
      <c r="M1820" s="339" t="s">
        <v>409</v>
      </c>
      <c r="N1820" s="338" t="s">
        <v>432</v>
      </c>
      <c r="O1820" s="338" t="s">
        <v>409</v>
      </c>
      <c r="P1820" s="338" t="s">
        <v>487</v>
      </c>
    </row>
    <row r="1821" spans="2:16" x14ac:dyDescent="0.25">
      <c r="B1821" s="336" t="s">
        <v>416</v>
      </c>
      <c r="C1821" s="337">
        <v>40469</v>
      </c>
      <c r="D1821" s="338" t="s">
        <v>5841</v>
      </c>
      <c r="E1821" s="338" t="s">
        <v>2012</v>
      </c>
      <c r="F1821" s="338"/>
      <c r="G1821" s="338" t="s">
        <v>413</v>
      </c>
      <c r="H1821" s="338" t="s">
        <v>412</v>
      </c>
      <c r="I1821" s="338" t="s">
        <v>411</v>
      </c>
      <c r="J1821" s="339"/>
      <c r="K1821" s="339"/>
      <c r="L1821" s="339" t="s">
        <v>409</v>
      </c>
      <c r="M1821" s="339" t="s">
        <v>409</v>
      </c>
      <c r="N1821" s="338" t="s">
        <v>417</v>
      </c>
      <c r="O1821" s="338" t="s">
        <v>409</v>
      </c>
      <c r="P1821" s="338" t="s">
        <v>410</v>
      </c>
    </row>
    <row r="1822" spans="2:16" x14ac:dyDescent="0.25">
      <c r="B1822" s="336" t="s">
        <v>416</v>
      </c>
      <c r="C1822" s="337">
        <v>40469</v>
      </c>
      <c r="D1822" s="338" t="s">
        <v>5840</v>
      </c>
      <c r="E1822" s="338" t="s">
        <v>5839</v>
      </c>
      <c r="F1822" s="338"/>
      <c r="G1822" s="338" t="s">
        <v>413</v>
      </c>
      <c r="H1822" s="338" t="s">
        <v>412</v>
      </c>
      <c r="I1822" s="338" t="s">
        <v>411</v>
      </c>
      <c r="J1822" s="339"/>
      <c r="K1822" s="339"/>
      <c r="L1822" s="339" t="s">
        <v>409</v>
      </c>
      <c r="M1822" s="339" t="s">
        <v>409</v>
      </c>
      <c r="N1822" s="338" t="s">
        <v>417</v>
      </c>
      <c r="O1822" s="338" t="s">
        <v>409</v>
      </c>
      <c r="P1822" s="338" t="s">
        <v>432</v>
      </c>
    </row>
    <row r="1823" spans="2:16" x14ac:dyDescent="0.25">
      <c r="B1823" s="336" t="s">
        <v>416</v>
      </c>
      <c r="C1823" s="337">
        <v>40465</v>
      </c>
      <c r="D1823" s="338" t="s">
        <v>956</v>
      </c>
      <c r="E1823" s="338" t="s">
        <v>5838</v>
      </c>
      <c r="F1823" s="338" t="s">
        <v>3236</v>
      </c>
      <c r="G1823" s="338">
        <v>4.62</v>
      </c>
      <c r="H1823" s="338" t="s">
        <v>336</v>
      </c>
      <c r="I1823" s="338" t="s">
        <v>411</v>
      </c>
      <c r="J1823" s="339"/>
      <c r="K1823" s="339"/>
      <c r="L1823" s="339">
        <v>0.37482700000000002</v>
      </c>
      <c r="M1823" s="339">
        <v>4.2300800000000001</v>
      </c>
      <c r="N1823" s="338"/>
      <c r="O1823" s="338" t="s">
        <v>417</v>
      </c>
      <c r="P1823" s="338" t="s">
        <v>432</v>
      </c>
    </row>
    <row r="1824" spans="2:16" x14ac:dyDescent="0.25">
      <c r="B1824" s="336" t="s">
        <v>416</v>
      </c>
      <c r="C1824" s="337">
        <v>40464</v>
      </c>
      <c r="D1824" s="338" t="s">
        <v>692</v>
      </c>
      <c r="E1824" s="338" t="s">
        <v>1322</v>
      </c>
      <c r="F1824" s="338"/>
      <c r="G1824" s="338" t="s">
        <v>413</v>
      </c>
      <c r="H1824" s="338" t="s">
        <v>412</v>
      </c>
      <c r="I1824" s="338" t="s">
        <v>411</v>
      </c>
      <c r="J1824" s="339"/>
      <c r="K1824" s="339"/>
      <c r="L1824" s="339" t="s">
        <v>409</v>
      </c>
      <c r="M1824" s="339" t="s">
        <v>409</v>
      </c>
      <c r="N1824" s="338"/>
      <c r="O1824" s="338" t="s">
        <v>409</v>
      </c>
      <c r="P1824" s="338" t="s">
        <v>417</v>
      </c>
    </row>
    <row r="1825" spans="2:16" x14ac:dyDescent="0.25">
      <c r="B1825" s="336" t="s">
        <v>459</v>
      </c>
      <c r="C1825" s="337">
        <v>40463</v>
      </c>
      <c r="D1825" s="338" t="s">
        <v>5837</v>
      </c>
      <c r="E1825" s="338" t="s">
        <v>5836</v>
      </c>
      <c r="F1825" s="338"/>
      <c r="G1825" s="338">
        <v>6</v>
      </c>
      <c r="H1825" s="338" t="s">
        <v>425</v>
      </c>
      <c r="I1825" s="338" t="s">
        <v>411</v>
      </c>
      <c r="J1825" s="339"/>
      <c r="K1825" s="339"/>
      <c r="L1825" s="339" t="s">
        <v>409</v>
      </c>
      <c r="M1825" s="339" t="s">
        <v>409</v>
      </c>
      <c r="N1825" s="338" t="s">
        <v>417</v>
      </c>
      <c r="O1825" s="338" t="s">
        <v>409</v>
      </c>
      <c r="P1825" s="338"/>
    </row>
    <row r="1826" spans="2:16" x14ac:dyDescent="0.25">
      <c r="B1826" s="336" t="s">
        <v>416</v>
      </c>
      <c r="C1826" s="337">
        <v>40463</v>
      </c>
      <c r="D1826" s="338" t="s">
        <v>956</v>
      </c>
      <c r="E1826" s="338" t="s">
        <v>1225</v>
      </c>
      <c r="F1826" s="338" t="s">
        <v>5835</v>
      </c>
      <c r="G1826" s="338" t="s">
        <v>413</v>
      </c>
      <c r="H1826" s="338" t="s">
        <v>425</v>
      </c>
      <c r="I1826" s="338" t="s">
        <v>411</v>
      </c>
      <c r="J1826" s="339"/>
      <c r="K1826" s="339"/>
      <c r="L1826" s="339"/>
      <c r="M1826" s="339"/>
      <c r="N1826" s="338"/>
      <c r="O1826" s="338" t="s">
        <v>417</v>
      </c>
      <c r="P1826" s="338" t="s">
        <v>417</v>
      </c>
    </row>
    <row r="1827" spans="2:16" x14ac:dyDescent="0.25">
      <c r="B1827" s="336" t="s">
        <v>416</v>
      </c>
      <c r="C1827" s="337">
        <v>40462</v>
      </c>
      <c r="D1827" s="338" t="s">
        <v>5834</v>
      </c>
      <c r="E1827" s="338" t="s">
        <v>712</v>
      </c>
      <c r="F1827" s="338"/>
      <c r="G1827" s="338">
        <v>1673.27</v>
      </c>
      <c r="H1827" s="338" t="s">
        <v>425</v>
      </c>
      <c r="I1827" s="338" t="s">
        <v>411</v>
      </c>
      <c r="J1827" s="339"/>
      <c r="K1827" s="339"/>
      <c r="L1827" s="339" t="s">
        <v>409</v>
      </c>
      <c r="M1827" s="339" t="s">
        <v>409</v>
      </c>
      <c r="N1827" s="338" t="s">
        <v>417</v>
      </c>
      <c r="O1827" s="338" t="s">
        <v>409</v>
      </c>
      <c r="P1827" s="338" t="s">
        <v>443</v>
      </c>
    </row>
    <row r="1828" spans="2:16" x14ac:dyDescent="0.25">
      <c r="B1828" s="336" t="s">
        <v>416</v>
      </c>
      <c r="C1828" s="337">
        <v>40462</v>
      </c>
      <c r="D1828" s="338" t="s">
        <v>5833</v>
      </c>
      <c r="E1828" s="338" t="s">
        <v>5832</v>
      </c>
      <c r="F1828" s="338" t="s">
        <v>3494</v>
      </c>
      <c r="G1828" s="338" t="s">
        <v>413</v>
      </c>
      <c r="H1828" s="338" t="s">
        <v>425</v>
      </c>
      <c r="I1828" s="338" t="s">
        <v>411</v>
      </c>
      <c r="J1828" s="339"/>
      <c r="K1828" s="339"/>
      <c r="L1828" s="339">
        <v>4.4746899999999998</v>
      </c>
      <c r="M1828" s="339">
        <v>11.501300000000001</v>
      </c>
      <c r="N1828" s="338"/>
      <c r="O1828" s="338" t="s">
        <v>417</v>
      </c>
      <c r="P1828" s="338" t="s">
        <v>417</v>
      </c>
    </row>
    <row r="1829" spans="2:16" x14ac:dyDescent="0.25">
      <c r="B1829" s="336" t="s">
        <v>416</v>
      </c>
      <c r="C1829" s="337">
        <v>40462</v>
      </c>
      <c r="D1829" s="338" t="s">
        <v>5831</v>
      </c>
      <c r="E1829" s="338" t="s">
        <v>939</v>
      </c>
      <c r="F1829" s="338" t="s">
        <v>2881</v>
      </c>
      <c r="G1829" s="338" t="s">
        <v>413</v>
      </c>
      <c r="H1829" s="338" t="s">
        <v>425</v>
      </c>
      <c r="I1829" s="338" t="s">
        <v>411</v>
      </c>
      <c r="J1829" s="339"/>
      <c r="K1829" s="339"/>
      <c r="L1829" s="339"/>
      <c r="M1829" s="339"/>
      <c r="N1829" s="338"/>
      <c r="O1829" s="338" t="s">
        <v>432</v>
      </c>
      <c r="P1829" s="338"/>
    </row>
    <row r="1830" spans="2:16" x14ac:dyDescent="0.25">
      <c r="B1830" s="336" t="s">
        <v>416</v>
      </c>
      <c r="C1830" s="337">
        <v>40462</v>
      </c>
      <c r="D1830" s="338" t="s">
        <v>956</v>
      </c>
      <c r="E1830" s="338" t="s">
        <v>2013</v>
      </c>
      <c r="F1830" s="338" t="s">
        <v>5830</v>
      </c>
      <c r="G1830" s="338">
        <v>51.33</v>
      </c>
      <c r="H1830" s="338" t="s">
        <v>425</v>
      </c>
      <c r="I1830" s="338" t="s">
        <v>411</v>
      </c>
      <c r="J1830" s="339"/>
      <c r="K1830" s="339"/>
      <c r="L1830" s="339"/>
      <c r="M1830" s="339"/>
      <c r="N1830" s="338"/>
      <c r="O1830" s="338" t="s">
        <v>417</v>
      </c>
      <c r="P1830" s="338" t="s">
        <v>417</v>
      </c>
    </row>
    <row r="1831" spans="2:16" x14ac:dyDescent="0.25">
      <c r="B1831" s="336" t="s">
        <v>416</v>
      </c>
      <c r="C1831" s="337">
        <v>40462</v>
      </c>
      <c r="D1831" s="338" t="s">
        <v>2374</v>
      </c>
      <c r="E1831" s="338" t="s">
        <v>5829</v>
      </c>
      <c r="F1831" s="338" t="s">
        <v>2373</v>
      </c>
      <c r="G1831" s="338">
        <v>301</v>
      </c>
      <c r="H1831" s="338" t="s">
        <v>425</v>
      </c>
      <c r="I1831" s="338" t="s">
        <v>411</v>
      </c>
      <c r="J1831" s="339"/>
      <c r="K1831" s="339"/>
      <c r="L1831" s="339"/>
      <c r="M1831" s="339"/>
      <c r="N1831" s="338" t="s">
        <v>410</v>
      </c>
      <c r="O1831" s="338" t="s">
        <v>443</v>
      </c>
      <c r="P1831" s="338" t="s">
        <v>487</v>
      </c>
    </row>
    <row r="1832" spans="2:16" x14ac:dyDescent="0.25">
      <c r="B1832" s="336" t="s">
        <v>416</v>
      </c>
      <c r="C1832" s="337">
        <v>40459</v>
      </c>
      <c r="D1832" s="338" t="s">
        <v>5828</v>
      </c>
      <c r="E1832" s="338" t="s">
        <v>419</v>
      </c>
      <c r="F1832" s="338" t="s">
        <v>5827</v>
      </c>
      <c r="G1832" s="338">
        <v>230.5</v>
      </c>
      <c r="H1832" s="338" t="s">
        <v>425</v>
      </c>
      <c r="I1832" s="338" t="s">
        <v>411</v>
      </c>
      <c r="J1832" s="339"/>
      <c r="K1832" s="339"/>
      <c r="L1832" s="339"/>
      <c r="M1832" s="339"/>
      <c r="N1832" s="338" t="s">
        <v>417</v>
      </c>
      <c r="O1832" s="338"/>
      <c r="P1832" s="338" t="s">
        <v>417</v>
      </c>
    </row>
    <row r="1833" spans="2:16" x14ac:dyDescent="0.25">
      <c r="B1833" s="336" t="s">
        <v>416</v>
      </c>
      <c r="C1833" s="337">
        <v>40458</v>
      </c>
      <c r="D1833" s="338" t="s">
        <v>5826</v>
      </c>
      <c r="E1833" s="338" t="s">
        <v>5641</v>
      </c>
      <c r="F1833" s="338"/>
      <c r="G1833" s="338" t="s">
        <v>413</v>
      </c>
      <c r="H1833" s="338" t="s">
        <v>412</v>
      </c>
      <c r="I1833" s="338" t="s">
        <v>411</v>
      </c>
      <c r="J1833" s="339"/>
      <c r="K1833" s="339"/>
      <c r="L1833" s="339" t="s">
        <v>409</v>
      </c>
      <c r="M1833" s="339" t="s">
        <v>409</v>
      </c>
      <c r="N1833" s="338" t="s">
        <v>432</v>
      </c>
      <c r="O1833" s="338" t="s">
        <v>409</v>
      </c>
      <c r="P1833" s="338" t="s">
        <v>605</v>
      </c>
    </row>
    <row r="1834" spans="2:16" x14ac:dyDescent="0.25">
      <c r="B1834" s="336" t="s">
        <v>416</v>
      </c>
      <c r="C1834" s="337">
        <v>40458</v>
      </c>
      <c r="D1834" s="338" t="s">
        <v>5825</v>
      </c>
      <c r="E1834" s="338" t="s">
        <v>5824</v>
      </c>
      <c r="F1834" s="338"/>
      <c r="G1834" s="338" t="s">
        <v>413</v>
      </c>
      <c r="H1834" s="338" t="s">
        <v>425</v>
      </c>
      <c r="I1834" s="338" t="s">
        <v>411</v>
      </c>
      <c r="J1834" s="339"/>
      <c r="K1834" s="339"/>
      <c r="L1834" s="339" t="s">
        <v>409</v>
      </c>
      <c r="M1834" s="339" t="s">
        <v>409</v>
      </c>
      <c r="N1834" s="338"/>
      <c r="O1834" s="338" t="s">
        <v>409</v>
      </c>
      <c r="P1834" s="338" t="s">
        <v>417</v>
      </c>
    </row>
    <row r="1835" spans="2:16" x14ac:dyDescent="0.25">
      <c r="B1835" s="336" t="s">
        <v>416</v>
      </c>
      <c r="C1835" s="337">
        <v>40456</v>
      </c>
      <c r="D1835" s="338" t="s">
        <v>1355</v>
      </c>
      <c r="E1835" s="338" t="s">
        <v>5823</v>
      </c>
      <c r="F1835" s="338" t="s">
        <v>5822</v>
      </c>
      <c r="G1835" s="338" t="s">
        <v>413</v>
      </c>
      <c r="H1835" s="338" t="s">
        <v>412</v>
      </c>
      <c r="I1835" s="338" t="s">
        <v>411</v>
      </c>
      <c r="J1835" s="339"/>
      <c r="K1835" s="339"/>
      <c r="L1835" s="339"/>
      <c r="M1835" s="339"/>
      <c r="N1835" s="338" t="s">
        <v>417</v>
      </c>
      <c r="O1835" s="338"/>
      <c r="P1835" s="338"/>
    </row>
    <row r="1836" spans="2:16" x14ac:dyDescent="0.25">
      <c r="B1836" s="336" t="s">
        <v>416</v>
      </c>
      <c r="C1836" s="337">
        <v>40455</v>
      </c>
      <c r="D1836" s="338" t="s">
        <v>5821</v>
      </c>
      <c r="E1836" s="338" t="s">
        <v>2363</v>
      </c>
      <c r="F1836" s="338"/>
      <c r="G1836" s="338" t="s">
        <v>413</v>
      </c>
      <c r="H1836" s="338" t="s">
        <v>412</v>
      </c>
      <c r="I1836" s="338" t="s">
        <v>411</v>
      </c>
      <c r="J1836" s="339"/>
      <c r="K1836" s="339"/>
      <c r="L1836" s="339" t="s">
        <v>409</v>
      </c>
      <c r="M1836" s="339" t="s">
        <v>409</v>
      </c>
      <c r="N1836" s="338" t="s">
        <v>417</v>
      </c>
      <c r="O1836" s="338" t="s">
        <v>409</v>
      </c>
      <c r="P1836" s="338" t="s">
        <v>417</v>
      </c>
    </row>
    <row r="1837" spans="2:16" x14ac:dyDescent="0.25">
      <c r="B1837" s="336" t="s">
        <v>416</v>
      </c>
      <c r="C1837" s="337">
        <v>40455</v>
      </c>
      <c r="D1837" s="338" t="s">
        <v>5820</v>
      </c>
      <c r="E1837" s="338" t="s">
        <v>5819</v>
      </c>
      <c r="F1837" s="338" t="s">
        <v>2736</v>
      </c>
      <c r="G1837" s="338" t="s">
        <v>413</v>
      </c>
      <c r="H1837" s="338" t="s">
        <v>425</v>
      </c>
      <c r="I1837" s="338" t="s">
        <v>411</v>
      </c>
      <c r="J1837" s="339"/>
      <c r="K1837" s="339"/>
      <c r="L1837" s="339"/>
      <c r="M1837" s="339"/>
      <c r="N1837" s="338" t="s">
        <v>487</v>
      </c>
      <c r="O1837" s="338" t="s">
        <v>443</v>
      </c>
      <c r="P1837" s="338"/>
    </row>
    <row r="1838" spans="2:16" x14ac:dyDescent="0.25">
      <c r="B1838" s="336" t="s">
        <v>416</v>
      </c>
      <c r="C1838" s="337">
        <v>40450</v>
      </c>
      <c r="D1838" s="338" t="s">
        <v>956</v>
      </c>
      <c r="E1838" s="338" t="s">
        <v>5818</v>
      </c>
      <c r="F1838" s="338" t="s">
        <v>5817</v>
      </c>
      <c r="G1838" s="338" t="s">
        <v>413</v>
      </c>
      <c r="H1838" s="338" t="s">
        <v>425</v>
      </c>
      <c r="I1838" s="338" t="s">
        <v>411</v>
      </c>
      <c r="J1838" s="339"/>
      <c r="K1838" s="339"/>
      <c r="L1838" s="339"/>
      <c r="M1838" s="339"/>
      <c r="N1838" s="338"/>
      <c r="O1838" s="338" t="s">
        <v>417</v>
      </c>
      <c r="P1838" s="338" t="s">
        <v>417</v>
      </c>
    </row>
    <row r="1839" spans="2:16" x14ac:dyDescent="0.25">
      <c r="B1839" s="336" t="s">
        <v>416</v>
      </c>
      <c r="C1839" s="337">
        <v>40450</v>
      </c>
      <c r="D1839" s="338" t="s">
        <v>5816</v>
      </c>
      <c r="E1839" s="338" t="s">
        <v>5815</v>
      </c>
      <c r="F1839" s="338"/>
      <c r="G1839" s="338" t="s">
        <v>413</v>
      </c>
      <c r="H1839" s="338" t="s">
        <v>412</v>
      </c>
      <c r="I1839" s="338" t="s">
        <v>411</v>
      </c>
      <c r="J1839" s="339"/>
      <c r="K1839" s="339"/>
      <c r="L1839" s="339" t="s">
        <v>409</v>
      </c>
      <c r="M1839" s="339" t="s">
        <v>409</v>
      </c>
      <c r="N1839" s="338" t="s">
        <v>417</v>
      </c>
      <c r="O1839" s="338" t="s">
        <v>409</v>
      </c>
      <c r="P1839" s="338" t="s">
        <v>417</v>
      </c>
    </row>
    <row r="1840" spans="2:16" x14ac:dyDescent="0.25">
      <c r="B1840" s="336" t="s">
        <v>416</v>
      </c>
      <c r="C1840" s="337">
        <v>40449</v>
      </c>
      <c r="D1840" s="338" t="s">
        <v>5814</v>
      </c>
      <c r="E1840" s="338" t="s">
        <v>5813</v>
      </c>
      <c r="F1840" s="338"/>
      <c r="G1840" s="338" t="s">
        <v>413</v>
      </c>
      <c r="H1840" s="338" t="s">
        <v>412</v>
      </c>
      <c r="I1840" s="338" t="s">
        <v>411</v>
      </c>
      <c r="J1840" s="339"/>
      <c r="K1840" s="339"/>
      <c r="L1840" s="339" t="s">
        <v>409</v>
      </c>
      <c r="M1840" s="339" t="s">
        <v>409</v>
      </c>
      <c r="N1840" s="338" t="s">
        <v>417</v>
      </c>
      <c r="O1840" s="338" t="s">
        <v>409</v>
      </c>
      <c r="P1840" s="338" t="s">
        <v>417</v>
      </c>
    </row>
    <row r="1841" spans="2:16" x14ac:dyDescent="0.25">
      <c r="B1841" s="336" t="s">
        <v>416</v>
      </c>
      <c r="C1841" s="337">
        <v>40448</v>
      </c>
      <c r="D1841" s="338" t="s">
        <v>814</v>
      </c>
      <c r="E1841" s="338" t="s">
        <v>1228</v>
      </c>
      <c r="F1841" s="338"/>
      <c r="G1841" s="338">
        <v>3701.34</v>
      </c>
      <c r="H1841" s="338" t="s">
        <v>425</v>
      </c>
      <c r="I1841" s="338" t="s">
        <v>411</v>
      </c>
      <c r="J1841" s="339">
        <v>2.1220400000000001</v>
      </c>
      <c r="K1841" s="339">
        <v>11.5387</v>
      </c>
      <c r="L1841" s="339" t="s">
        <v>409</v>
      </c>
      <c r="M1841" s="339" t="s">
        <v>409</v>
      </c>
      <c r="N1841" s="338" t="s">
        <v>410</v>
      </c>
      <c r="O1841" s="338" t="s">
        <v>409</v>
      </c>
      <c r="P1841" s="338" t="s">
        <v>410</v>
      </c>
    </row>
    <row r="1842" spans="2:16" x14ac:dyDescent="0.25">
      <c r="B1842" s="336" t="s">
        <v>416</v>
      </c>
      <c r="C1842" s="337">
        <v>40442</v>
      </c>
      <c r="D1842" s="338" t="s">
        <v>5812</v>
      </c>
      <c r="E1842" s="338" t="s">
        <v>5811</v>
      </c>
      <c r="F1842" s="338"/>
      <c r="G1842" s="338" t="s">
        <v>413</v>
      </c>
      <c r="H1842" s="338" t="s">
        <v>412</v>
      </c>
      <c r="I1842" s="338" t="s">
        <v>411</v>
      </c>
      <c r="J1842" s="339"/>
      <c r="K1842" s="339"/>
      <c r="L1842" s="339" t="s">
        <v>409</v>
      </c>
      <c r="M1842" s="339" t="s">
        <v>409</v>
      </c>
      <c r="N1842" s="338" t="s">
        <v>417</v>
      </c>
      <c r="O1842" s="338" t="s">
        <v>409</v>
      </c>
      <c r="P1842" s="338" t="s">
        <v>487</v>
      </c>
    </row>
    <row r="1843" spans="2:16" x14ac:dyDescent="0.25">
      <c r="B1843" s="336" t="s">
        <v>416</v>
      </c>
      <c r="C1843" s="337">
        <v>40441</v>
      </c>
      <c r="D1843" s="338" t="s">
        <v>956</v>
      </c>
      <c r="E1843" s="338" t="s">
        <v>5810</v>
      </c>
      <c r="F1843" s="338" t="s">
        <v>5809</v>
      </c>
      <c r="G1843" s="338" t="s">
        <v>413</v>
      </c>
      <c r="H1843" s="338" t="s">
        <v>425</v>
      </c>
      <c r="I1843" s="338" t="s">
        <v>411</v>
      </c>
      <c r="J1843" s="339"/>
      <c r="K1843" s="339"/>
      <c r="L1843" s="339"/>
      <c r="M1843" s="339"/>
      <c r="N1843" s="338"/>
      <c r="O1843" s="338" t="s">
        <v>417</v>
      </c>
      <c r="P1843" s="338" t="s">
        <v>417</v>
      </c>
    </row>
    <row r="1844" spans="2:16" x14ac:dyDescent="0.25">
      <c r="B1844" s="336" t="s">
        <v>416</v>
      </c>
      <c r="C1844" s="337">
        <v>40438</v>
      </c>
      <c r="D1844" s="338" t="s">
        <v>5808</v>
      </c>
      <c r="E1844" s="338" t="s">
        <v>5807</v>
      </c>
      <c r="F1844" s="338"/>
      <c r="G1844" s="338">
        <v>1.9</v>
      </c>
      <c r="H1844" s="338" t="s">
        <v>425</v>
      </c>
      <c r="I1844" s="338" t="s">
        <v>411</v>
      </c>
      <c r="J1844" s="339"/>
      <c r="K1844" s="339"/>
      <c r="L1844" s="339" t="s">
        <v>409</v>
      </c>
      <c r="M1844" s="339" t="s">
        <v>409</v>
      </c>
      <c r="N1844" s="338" t="s">
        <v>417</v>
      </c>
      <c r="O1844" s="338" t="s">
        <v>409</v>
      </c>
      <c r="P1844" s="338" t="s">
        <v>543</v>
      </c>
    </row>
    <row r="1845" spans="2:16" x14ac:dyDescent="0.25">
      <c r="B1845" s="336" t="s">
        <v>416</v>
      </c>
      <c r="C1845" s="337">
        <v>40437</v>
      </c>
      <c r="D1845" s="338" t="s">
        <v>5806</v>
      </c>
      <c r="E1845" s="338" t="s">
        <v>1203</v>
      </c>
      <c r="F1845" s="338"/>
      <c r="G1845" s="338" t="s">
        <v>413</v>
      </c>
      <c r="H1845" s="338" t="s">
        <v>425</v>
      </c>
      <c r="I1845" s="338" t="s">
        <v>411</v>
      </c>
      <c r="J1845" s="339"/>
      <c r="K1845" s="339"/>
      <c r="L1845" s="339" t="s">
        <v>409</v>
      </c>
      <c r="M1845" s="339" t="s">
        <v>409</v>
      </c>
      <c r="N1845" s="338"/>
      <c r="O1845" s="338" t="s">
        <v>409</v>
      </c>
      <c r="P1845" s="338" t="s">
        <v>417</v>
      </c>
    </row>
    <row r="1846" spans="2:16" x14ac:dyDescent="0.25">
      <c r="B1846" s="336" t="s">
        <v>459</v>
      </c>
      <c r="C1846" s="337">
        <v>40436</v>
      </c>
      <c r="D1846" s="338" t="s">
        <v>1184</v>
      </c>
      <c r="E1846" s="338" t="s">
        <v>1197</v>
      </c>
      <c r="F1846" s="338" t="s">
        <v>1183</v>
      </c>
      <c r="G1846" s="338" t="s">
        <v>413</v>
      </c>
      <c r="H1846" s="338" t="s">
        <v>425</v>
      </c>
      <c r="I1846" s="338" t="s">
        <v>411</v>
      </c>
      <c r="J1846" s="339">
        <v>5.4962299999999997</v>
      </c>
      <c r="K1846" s="339">
        <v>46.257399999999997</v>
      </c>
      <c r="L1846" s="339"/>
      <c r="M1846" s="339"/>
      <c r="N1846" s="338" t="s">
        <v>417</v>
      </c>
      <c r="O1846" s="338" t="s">
        <v>443</v>
      </c>
      <c r="P1846" s="338" t="s">
        <v>443</v>
      </c>
    </row>
    <row r="1847" spans="2:16" x14ac:dyDescent="0.25">
      <c r="B1847" s="336" t="s">
        <v>416</v>
      </c>
      <c r="C1847" s="337">
        <v>40436</v>
      </c>
      <c r="D1847" s="338" t="s">
        <v>3488</v>
      </c>
      <c r="E1847" s="338" t="s">
        <v>3179</v>
      </c>
      <c r="F1847" s="338" t="s">
        <v>978</v>
      </c>
      <c r="G1847" s="338" t="s">
        <v>413</v>
      </c>
      <c r="H1847" s="338" t="s">
        <v>425</v>
      </c>
      <c r="I1847" s="338" t="s">
        <v>411</v>
      </c>
      <c r="J1847" s="339"/>
      <c r="K1847" s="339"/>
      <c r="L1847" s="339">
        <v>1.67537</v>
      </c>
      <c r="M1847" s="339">
        <v>9.2814499999999995</v>
      </c>
      <c r="N1847" s="338"/>
      <c r="O1847" s="338" t="s">
        <v>417</v>
      </c>
      <c r="P1847" s="338" t="s">
        <v>417</v>
      </c>
    </row>
    <row r="1848" spans="2:16" x14ac:dyDescent="0.25">
      <c r="B1848" s="336" t="s">
        <v>416</v>
      </c>
      <c r="C1848" s="337">
        <v>40435</v>
      </c>
      <c r="D1848" s="338" t="s">
        <v>5805</v>
      </c>
      <c r="E1848" s="338" t="s">
        <v>5804</v>
      </c>
      <c r="F1848" s="338"/>
      <c r="G1848" s="338">
        <v>8</v>
      </c>
      <c r="H1848" s="338" t="s">
        <v>425</v>
      </c>
      <c r="I1848" s="338" t="s">
        <v>411</v>
      </c>
      <c r="J1848" s="339"/>
      <c r="K1848" s="339"/>
      <c r="L1848" s="339" t="s">
        <v>409</v>
      </c>
      <c r="M1848" s="339" t="s">
        <v>409</v>
      </c>
      <c r="N1848" s="338" t="s">
        <v>432</v>
      </c>
      <c r="O1848" s="338" t="s">
        <v>409</v>
      </c>
      <c r="P1848" s="338" t="s">
        <v>417</v>
      </c>
    </row>
    <row r="1849" spans="2:16" x14ac:dyDescent="0.25">
      <c r="B1849" s="336" t="s">
        <v>1441</v>
      </c>
      <c r="C1849" s="337">
        <v>40435</v>
      </c>
      <c r="D1849" s="338" t="s">
        <v>5803</v>
      </c>
      <c r="E1849" s="338" t="s">
        <v>1203</v>
      </c>
      <c r="F1849" s="338"/>
      <c r="G1849" s="338" t="s">
        <v>413</v>
      </c>
      <c r="H1849" s="338" t="s">
        <v>412</v>
      </c>
      <c r="I1849" s="338" t="s">
        <v>411</v>
      </c>
      <c r="J1849" s="339">
        <v>3.3287399999999998</v>
      </c>
      <c r="K1849" s="339">
        <v>8.5930700000000009</v>
      </c>
      <c r="L1849" s="339" t="s">
        <v>409</v>
      </c>
      <c r="M1849" s="339" t="s">
        <v>409</v>
      </c>
      <c r="N1849" s="338" t="s">
        <v>432</v>
      </c>
      <c r="O1849" s="338" t="s">
        <v>409</v>
      </c>
      <c r="P1849" s="338" t="s">
        <v>417</v>
      </c>
    </row>
    <row r="1850" spans="2:16" x14ac:dyDescent="0.25">
      <c r="B1850" s="336" t="s">
        <v>416</v>
      </c>
      <c r="C1850" s="337">
        <v>40434</v>
      </c>
      <c r="D1850" s="338" t="s">
        <v>5802</v>
      </c>
      <c r="E1850" s="338" t="s">
        <v>436</v>
      </c>
      <c r="F1850" s="338" t="s">
        <v>5801</v>
      </c>
      <c r="G1850" s="338">
        <v>138</v>
      </c>
      <c r="H1850" s="338" t="s">
        <v>425</v>
      </c>
      <c r="I1850" s="338" t="s">
        <v>411</v>
      </c>
      <c r="J1850" s="339"/>
      <c r="K1850" s="339"/>
      <c r="L1850" s="339"/>
      <c r="M1850" s="339"/>
      <c r="N1850" s="338"/>
      <c r="O1850" s="338"/>
      <c r="P1850" s="338" t="s">
        <v>417</v>
      </c>
    </row>
    <row r="1851" spans="2:16" x14ac:dyDescent="0.25">
      <c r="B1851" s="336" t="s">
        <v>1441</v>
      </c>
      <c r="C1851" s="337">
        <v>40433</v>
      </c>
      <c r="D1851" s="338" t="s">
        <v>5800</v>
      </c>
      <c r="E1851" s="338" t="s">
        <v>5737</v>
      </c>
      <c r="F1851" s="338"/>
      <c r="G1851" s="338" t="s">
        <v>413</v>
      </c>
      <c r="H1851" s="338" t="s">
        <v>412</v>
      </c>
      <c r="I1851" s="338" t="s">
        <v>1243</v>
      </c>
      <c r="J1851" s="339"/>
      <c r="K1851" s="339"/>
      <c r="L1851" s="339" t="s">
        <v>409</v>
      </c>
      <c r="M1851" s="339" t="s">
        <v>409</v>
      </c>
      <c r="N1851" s="338" t="s">
        <v>417</v>
      </c>
      <c r="O1851" s="338" t="s">
        <v>409</v>
      </c>
      <c r="P1851" s="338" t="s">
        <v>417</v>
      </c>
    </row>
    <row r="1852" spans="2:16" x14ac:dyDescent="0.25">
      <c r="B1852" s="336" t="s">
        <v>416</v>
      </c>
      <c r="C1852" s="337">
        <v>40431</v>
      </c>
      <c r="D1852" s="338" t="s">
        <v>3960</v>
      </c>
      <c r="E1852" s="338" t="s">
        <v>5799</v>
      </c>
      <c r="F1852" s="338" t="s">
        <v>3898</v>
      </c>
      <c r="G1852" s="338" t="s">
        <v>413</v>
      </c>
      <c r="H1852" s="338" t="s">
        <v>412</v>
      </c>
      <c r="I1852" s="338" t="s">
        <v>411</v>
      </c>
      <c r="J1852" s="339"/>
      <c r="K1852" s="339"/>
      <c r="L1852" s="339"/>
      <c r="M1852" s="339"/>
      <c r="N1852" s="338" t="s">
        <v>417</v>
      </c>
      <c r="O1852" s="338" t="s">
        <v>443</v>
      </c>
      <c r="P1852" s="338" t="s">
        <v>410</v>
      </c>
    </row>
    <row r="1853" spans="2:16" x14ac:dyDescent="0.25">
      <c r="B1853" s="336" t="s">
        <v>416</v>
      </c>
      <c r="C1853" s="337">
        <v>40431</v>
      </c>
      <c r="D1853" s="338" t="s">
        <v>5798</v>
      </c>
      <c r="E1853" s="338" t="s">
        <v>436</v>
      </c>
      <c r="F1853" s="338" t="s">
        <v>5797</v>
      </c>
      <c r="G1853" s="338">
        <v>138</v>
      </c>
      <c r="H1853" s="338" t="s">
        <v>425</v>
      </c>
      <c r="I1853" s="338" t="s">
        <v>411</v>
      </c>
      <c r="J1853" s="339"/>
      <c r="K1853" s="339"/>
      <c r="L1853" s="339"/>
      <c r="M1853" s="339"/>
      <c r="N1853" s="338" t="s">
        <v>417</v>
      </c>
      <c r="O1853" s="338" t="s">
        <v>410</v>
      </c>
      <c r="P1853" s="338" t="s">
        <v>417</v>
      </c>
    </row>
    <row r="1854" spans="2:16" x14ac:dyDescent="0.25">
      <c r="B1854" s="336" t="s">
        <v>416</v>
      </c>
      <c r="C1854" s="337">
        <v>40431</v>
      </c>
      <c r="D1854" s="338" t="s">
        <v>1641</v>
      </c>
      <c r="E1854" s="338" t="s">
        <v>5796</v>
      </c>
      <c r="F1854" s="338"/>
      <c r="G1854" s="338" t="s">
        <v>413</v>
      </c>
      <c r="H1854" s="338" t="s">
        <v>425</v>
      </c>
      <c r="I1854" s="338" t="s">
        <v>411</v>
      </c>
      <c r="J1854" s="339"/>
      <c r="K1854" s="339"/>
      <c r="L1854" s="339" t="s">
        <v>409</v>
      </c>
      <c r="M1854" s="339" t="s">
        <v>409</v>
      </c>
      <c r="N1854" s="338" t="s">
        <v>417</v>
      </c>
      <c r="O1854" s="338" t="s">
        <v>409</v>
      </c>
      <c r="P1854" s="338" t="s">
        <v>443</v>
      </c>
    </row>
    <row r="1855" spans="2:16" x14ac:dyDescent="0.25">
      <c r="B1855" s="336" t="s">
        <v>416</v>
      </c>
      <c r="C1855" s="337">
        <v>40431</v>
      </c>
      <c r="D1855" s="338" t="s">
        <v>956</v>
      </c>
      <c r="E1855" s="338" t="s">
        <v>441</v>
      </c>
      <c r="F1855" s="338" t="s">
        <v>5795</v>
      </c>
      <c r="G1855" s="338" t="s">
        <v>413</v>
      </c>
      <c r="H1855" s="338" t="s">
        <v>425</v>
      </c>
      <c r="I1855" s="338" t="s">
        <v>411</v>
      </c>
      <c r="J1855" s="339"/>
      <c r="K1855" s="339"/>
      <c r="L1855" s="339"/>
      <c r="M1855" s="339"/>
      <c r="N1855" s="338"/>
      <c r="O1855" s="338" t="s">
        <v>417</v>
      </c>
      <c r="P1855" s="338" t="s">
        <v>417</v>
      </c>
    </row>
    <row r="1856" spans="2:16" x14ac:dyDescent="0.25">
      <c r="B1856" s="336" t="s">
        <v>416</v>
      </c>
      <c r="C1856" s="337">
        <v>40431</v>
      </c>
      <c r="D1856" s="338" t="s">
        <v>5794</v>
      </c>
      <c r="E1856" s="338" t="s">
        <v>1022</v>
      </c>
      <c r="F1856" s="338"/>
      <c r="G1856" s="338" t="s">
        <v>413</v>
      </c>
      <c r="H1856" s="338" t="s">
        <v>412</v>
      </c>
      <c r="I1856" s="338" t="s">
        <v>411</v>
      </c>
      <c r="J1856" s="339"/>
      <c r="K1856" s="339"/>
      <c r="L1856" s="339" t="s">
        <v>409</v>
      </c>
      <c r="M1856" s="339" t="s">
        <v>409</v>
      </c>
      <c r="N1856" s="338" t="s">
        <v>410</v>
      </c>
      <c r="O1856" s="338" t="s">
        <v>409</v>
      </c>
      <c r="P1856" s="338" t="s">
        <v>417</v>
      </c>
    </row>
    <row r="1857" spans="2:16" x14ac:dyDescent="0.25">
      <c r="B1857" s="336" t="s">
        <v>416</v>
      </c>
      <c r="C1857" s="337">
        <v>40428</v>
      </c>
      <c r="D1857" s="338" t="s">
        <v>5793</v>
      </c>
      <c r="E1857" s="338" t="s">
        <v>5792</v>
      </c>
      <c r="F1857" s="338"/>
      <c r="G1857" s="338" t="s">
        <v>413</v>
      </c>
      <c r="H1857" s="338" t="s">
        <v>425</v>
      </c>
      <c r="I1857" s="338" t="s">
        <v>411</v>
      </c>
      <c r="J1857" s="339"/>
      <c r="K1857" s="339"/>
      <c r="L1857" s="339" t="s">
        <v>409</v>
      </c>
      <c r="M1857" s="339" t="s">
        <v>409</v>
      </c>
      <c r="N1857" s="338"/>
      <c r="O1857" s="338" t="s">
        <v>409</v>
      </c>
      <c r="P1857" s="338" t="s">
        <v>432</v>
      </c>
    </row>
    <row r="1858" spans="2:16" x14ac:dyDescent="0.25">
      <c r="B1858" s="336" t="s">
        <v>416</v>
      </c>
      <c r="C1858" s="337">
        <v>40428</v>
      </c>
      <c r="D1858" s="338" t="s">
        <v>5791</v>
      </c>
      <c r="E1858" s="338" t="s">
        <v>656</v>
      </c>
      <c r="F1858" s="338" t="s">
        <v>5790</v>
      </c>
      <c r="G1858" s="338">
        <v>725</v>
      </c>
      <c r="H1858" s="338" t="s">
        <v>412</v>
      </c>
      <c r="I1858" s="338" t="s">
        <v>411</v>
      </c>
      <c r="J1858" s="339"/>
      <c r="K1858" s="339"/>
      <c r="L1858" s="339"/>
      <c r="M1858" s="339"/>
      <c r="N1858" s="338" t="s">
        <v>417</v>
      </c>
      <c r="O1858" s="338" t="s">
        <v>408</v>
      </c>
      <c r="P1858" s="338" t="s">
        <v>408</v>
      </c>
    </row>
    <row r="1859" spans="2:16" x14ac:dyDescent="0.25">
      <c r="B1859" s="336" t="s">
        <v>416</v>
      </c>
      <c r="C1859" s="337">
        <v>40428</v>
      </c>
      <c r="D1859" s="338" t="s">
        <v>5789</v>
      </c>
      <c r="E1859" s="338" t="s">
        <v>5788</v>
      </c>
      <c r="F1859" s="338"/>
      <c r="G1859" s="338" t="s">
        <v>413</v>
      </c>
      <c r="H1859" s="338" t="s">
        <v>425</v>
      </c>
      <c r="I1859" s="338" t="s">
        <v>411</v>
      </c>
      <c r="J1859" s="339"/>
      <c r="K1859" s="339"/>
      <c r="L1859" s="339" t="s">
        <v>409</v>
      </c>
      <c r="M1859" s="339" t="s">
        <v>409</v>
      </c>
      <c r="N1859" s="338"/>
      <c r="O1859" s="338" t="s">
        <v>409</v>
      </c>
      <c r="P1859" s="338" t="s">
        <v>432</v>
      </c>
    </row>
    <row r="1860" spans="2:16" x14ac:dyDescent="0.25">
      <c r="B1860" s="336" t="s">
        <v>416</v>
      </c>
      <c r="C1860" s="337">
        <v>40424</v>
      </c>
      <c r="D1860" s="338" t="s">
        <v>5787</v>
      </c>
      <c r="E1860" s="338" t="s">
        <v>1619</v>
      </c>
      <c r="F1860" s="338" t="s">
        <v>5785</v>
      </c>
      <c r="G1860" s="338" t="s">
        <v>413</v>
      </c>
      <c r="H1860" s="338" t="s">
        <v>425</v>
      </c>
      <c r="I1860" s="338" t="s">
        <v>411</v>
      </c>
      <c r="J1860" s="339"/>
      <c r="K1860" s="339"/>
      <c r="L1860" s="339">
        <v>1.28684</v>
      </c>
      <c r="M1860" s="339">
        <v>11.0106</v>
      </c>
      <c r="N1860" s="338"/>
      <c r="O1860" s="338" t="s">
        <v>410</v>
      </c>
      <c r="P1860" s="338" t="s">
        <v>417</v>
      </c>
    </row>
    <row r="1861" spans="2:16" x14ac:dyDescent="0.25">
      <c r="B1861" s="336" t="s">
        <v>416</v>
      </c>
      <c r="C1861" s="337">
        <v>40424</v>
      </c>
      <c r="D1861" s="338" t="s">
        <v>5786</v>
      </c>
      <c r="E1861" s="338" t="s">
        <v>5785</v>
      </c>
      <c r="F1861" s="338" t="s">
        <v>1619</v>
      </c>
      <c r="G1861" s="338" t="s">
        <v>413</v>
      </c>
      <c r="H1861" s="338" t="s">
        <v>425</v>
      </c>
      <c r="I1861" s="338" t="s">
        <v>411</v>
      </c>
      <c r="J1861" s="339"/>
      <c r="K1861" s="339"/>
      <c r="L1861" s="339">
        <v>0.91461099999999995</v>
      </c>
      <c r="M1861" s="339">
        <v>13.7773</v>
      </c>
      <c r="N1861" s="338"/>
      <c r="O1861" s="338" t="s">
        <v>417</v>
      </c>
      <c r="P1861" s="338" t="s">
        <v>410</v>
      </c>
    </row>
    <row r="1862" spans="2:16" x14ac:dyDescent="0.25">
      <c r="B1862" s="336" t="s">
        <v>416</v>
      </c>
      <c r="C1862" s="337">
        <v>40423</v>
      </c>
      <c r="D1862" s="338" t="s">
        <v>5784</v>
      </c>
      <c r="E1862" s="338" t="s">
        <v>5783</v>
      </c>
      <c r="F1862" s="338" t="s">
        <v>3967</v>
      </c>
      <c r="G1862" s="338" t="s">
        <v>413</v>
      </c>
      <c r="H1862" s="338" t="s">
        <v>425</v>
      </c>
      <c r="I1862" s="338" t="s">
        <v>411</v>
      </c>
      <c r="J1862" s="339"/>
      <c r="K1862" s="339"/>
      <c r="L1862" s="339">
        <v>6.8106299999999997</v>
      </c>
      <c r="M1862" s="339">
        <v>16.468699999999998</v>
      </c>
      <c r="N1862" s="338"/>
      <c r="O1862" s="338" t="s">
        <v>432</v>
      </c>
      <c r="P1862" s="338" t="s">
        <v>443</v>
      </c>
    </row>
    <row r="1863" spans="2:16" x14ac:dyDescent="0.25">
      <c r="B1863" s="336" t="s">
        <v>416</v>
      </c>
      <c r="C1863" s="337">
        <v>40423</v>
      </c>
      <c r="D1863" s="338" t="s">
        <v>5782</v>
      </c>
      <c r="E1863" s="338" t="s">
        <v>2869</v>
      </c>
      <c r="F1863" s="338"/>
      <c r="G1863" s="338" t="s">
        <v>413</v>
      </c>
      <c r="H1863" s="338" t="s">
        <v>412</v>
      </c>
      <c r="I1863" s="338" t="s">
        <v>411</v>
      </c>
      <c r="J1863" s="339"/>
      <c r="K1863" s="339"/>
      <c r="L1863" s="339" t="s">
        <v>409</v>
      </c>
      <c r="M1863" s="339" t="s">
        <v>409</v>
      </c>
      <c r="N1863" s="338" t="s">
        <v>417</v>
      </c>
      <c r="O1863" s="338" t="s">
        <v>409</v>
      </c>
      <c r="P1863" s="338" t="s">
        <v>417</v>
      </c>
    </row>
    <row r="1864" spans="2:16" x14ac:dyDescent="0.25">
      <c r="B1864" s="336" t="s">
        <v>416</v>
      </c>
      <c r="C1864" s="337">
        <v>40423</v>
      </c>
      <c r="D1864" s="338" t="s">
        <v>4429</v>
      </c>
      <c r="E1864" s="338" t="s">
        <v>5781</v>
      </c>
      <c r="F1864" s="338"/>
      <c r="G1864" s="338">
        <v>3933.94</v>
      </c>
      <c r="H1864" s="338" t="s">
        <v>425</v>
      </c>
      <c r="I1864" s="338" t="s">
        <v>411</v>
      </c>
      <c r="J1864" s="339"/>
      <c r="K1864" s="339"/>
      <c r="L1864" s="339" t="s">
        <v>409</v>
      </c>
      <c r="M1864" s="339" t="s">
        <v>409</v>
      </c>
      <c r="N1864" s="338" t="s">
        <v>417</v>
      </c>
      <c r="O1864" s="338" t="s">
        <v>409</v>
      </c>
      <c r="P1864" s="338" t="s">
        <v>443</v>
      </c>
    </row>
    <row r="1865" spans="2:16" x14ac:dyDescent="0.25">
      <c r="B1865" s="336" t="s">
        <v>416</v>
      </c>
      <c r="C1865" s="337">
        <v>40423</v>
      </c>
      <c r="D1865" s="338" t="s">
        <v>5780</v>
      </c>
      <c r="E1865" s="338" t="s">
        <v>983</v>
      </c>
      <c r="F1865" s="338" t="s">
        <v>5779</v>
      </c>
      <c r="G1865" s="338" t="s">
        <v>413</v>
      </c>
      <c r="H1865" s="338" t="s">
        <v>425</v>
      </c>
      <c r="I1865" s="338" t="s">
        <v>411</v>
      </c>
      <c r="J1865" s="339"/>
      <c r="K1865" s="339"/>
      <c r="L1865" s="339"/>
      <c r="M1865" s="339"/>
      <c r="N1865" s="338"/>
      <c r="O1865" s="338" t="s">
        <v>417</v>
      </c>
      <c r="P1865" s="338" t="s">
        <v>417</v>
      </c>
    </row>
    <row r="1866" spans="2:16" x14ac:dyDescent="0.25">
      <c r="B1866" s="336" t="s">
        <v>416</v>
      </c>
      <c r="C1866" s="337">
        <v>40422</v>
      </c>
      <c r="D1866" s="338" t="s">
        <v>956</v>
      </c>
      <c r="E1866" s="338" t="s">
        <v>3098</v>
      </c>
      <c r="F1866" s="338" t="s">
        <v>5778</v>
      </c>
      <c r="G1866" s="338" t="s">
        <v>413</v>
      </c>
      <c r="H1866" s="338" t="s">
        <v>425</v>
      </c>
      <c r="I1866" s="338" t="s">
        <v>411</v>
      </c>
      <c r="J1866" s="339"/>
      <c r="K1866" s="339"/>
      <c r="L1866" s="339"/>
      <c r="M1866" s="339"/>
      <c r="N1866" s="338"/>
      <c r="O1866" s="338" t="s">
        <v>885</v>
      </c>
      <c r="P1866" s="338" t="s">
        <v>417</v>
      </c>
    </row>
    <row r="1867" spans="2:16" x14ac:dyDescent="0.25">
      <c r="B1867" s="336" t="s">
        <v>416</v>
      </c>
      <c r="C1867" s="337">
        <v>40422</v>
      </c>
      <c r="D1867" s="338" t="s">
        <v>5777</v>
      </c>
      <c r="E1867" s="338" t="s">
        <v>1619</v>
      </c>
      <c r="F1867" s="338" t="s">
        <v>3360</v>
      </c>
      <c r="G1867" s="338" t="s">
        <v>413</v>
      </c>
      <c r="H1867" s="338" t="s">
        <v>425</v>
      </c>
      <c r="I1867" s="338" t="s">
        <v>411</v>
      </c>
      <c r="J1867" s="339"/>
      <c r="K1867" s="339"/>
      <c r="L1867" s="339">
        <v>2.62975</v>
      </c>
      <c r="M1867" s="339">
        <v>116.34699999999999</v>
      </c>
      <c r="N1867" s="338"/>
      <c r="O1867" s="338" t="s">
        <v>410</v>
      </c>
      <c r="P1867" s="338" t="s">
        <v>417</v>
      </c>
    </row>
    <row r="1868" spans="2:16" x14ac:dyDescent="0.25">
      <c r="B1868" s="336" t="s">
        <v>416</v>
      </c>
      <c r="C1868" s="337">
        <v>40422</v>
      </c>
      <c r="D1868" s="338" t="s">
        <v>5776</v>
      </c>
      <c r="E1868" s="338" t="s">
        <v>5775</v>
      </c>
      <c r="F1868" s="338"/>
      <c r="G1868" s="338" t="s">
        <v>413</v>
      </c>
      <c r="H1868" s="338" t="s">
        <v>412</v>
      </c>
      <c r="I1868" s="338" t="s">
        <v>411</v>
      </c>
      <c r="J1868" s="339"/>
      <c r="K1868" s="339"/>
      <c r="L1868" s="339" t="s">
        <v>409</v>
      </c>
      <c r="M1868" s="339" t="s">
        <v>409</v>
      </c>
      <c r="N1868" s="338" t="s">
        <v>417</v>
      </c>
      <c r="O1868" s="338" t="s">
        <v>409</v>
      </c>
      <c r="P1868" s="338" t="s">
        <v>443</v>
      </c>
    </row>
    <row r="1869" spans="2:16" x14ac:dyDescent="0.25">
      <c r="B1869" s="336" t="s">
        <v>416</v>
      </c>
      <c r="C1869" s="337">
        <v>40420</v>
      </c>
      <c r="D1869" s="338" t="s">
        <v>2717</v>
      </c>
      <c r="E1869" s="338" t="s">
        <v>1778</v>
      </c>
      <c r="F1869" s="338" t="s">
        <v>2716</v>
      </c>
      <c r="G1869" s="338" t="s">
        <v>413</v>
      </c>
      <c r="H1869" s="338" t="s">
        <v>412</v>
      </c>
      <c r="I1869" s="338" t="s">
        <v>411</v>
      </c>
      <c r="J1869" s="339"/>
      <c r="K1869" s="339"/>
      <c r="L1869" s="339"/>
      <c r="M1869" s="339"/>
      <c r="N1869" s="338" t="s">
        <v>417</v>
      </c>
      <c r="O1869" s="338"/>
      <c r="P1869" s="338" t="s">
        <v>443</v>
      </c>
    </row>
    <row r="1870" spans="2:16" x14ac:dyDescent="0.25">
      <c r="B1870" s="336" t="s">
        <v>416</v>
      </c>
      <c r="C1870" s="337">
        <v>40417</v>
      </c>
      <c r="D1870" s="338" t="s">
        <v>956</v>
      </c>
      <c r="E1870" s="338" t="s">
        <v>2180</v>
      </c>
      <c r="F1870" s="338" t="s">
        <v>2663</v>
      </c>
      <c r="G1870" s="338" t="s">
        <v>413</v>
      </c>
      <c r="H1870" s="338" t="s">
        <v>425</v>
      </c>
      <c r="I1870" s="338" t="s">
        <v>411</v>
      </c>
      <c r="J1870" s="339"/>
      <c r="K1870" s="339"/>
      <c r="L1870" s="339">
        <v>0.57962100000000005</v>
      </c>
      <c r="M1870" s="339">
        <v>5.40618</v>
      </c>
      <c r="N1870" s="338"/>
      <c r="O1870" s="338" t="s">
        <v>408</v>
      </c>
      <c r="P1870" s="338" t="s">
        <v>408</v>
      </c>
    </row>
    <row r="1871" spans="2:16" x14ac:dyDescent="0.25">
      <c r="B1871" s="336" t="s">
        <v>416</v>
      </c>
      <c r="C1871" s="337">
        <v>40415</v>
      </c>
      <c r="D1871" s="338" t="s">
        <v>5774</v>
      </c>
      <c r="E1871" s="338" t="s">
        <v>5773</v>
      </c>
      <c r="F1871" s="338"/>
      <c r="G1871" s="338">
        <v>13</v>
      </c>
      <c r="H1871" s="338" t="s">
        <v>425</v>
      </c>
      <c r="I1871" s="338" t="s">
        <v>411</v>
      </c>
      <c r="J1871" s="339"/>
      <c r="K1871" s="339"/>
      <c r="L1871" s="339" t="s">
        <v>409</v>
      </c>
      <c r="M1871" s="339" t="s">
        <v>409</v>
      </c>
      <c r="N1871" s="338" t="s">
        <v>417</v>
      </c>
      <c r="O1871" s="338" t="s">
        <v>409</v>
      </c>
      <c r="P1871" s="338" t="s">
        <v>443</v>
      </c>
    </row>
    <row r="1872" spans="2:16" x14ac:dyDescent="0.25">
      <c r="B1872" s="336" t="s">
        <v>416</v>
      </c>
      <c r="C1872" s="337">
        <v>40415</v>
      </c>
      <c r="D1872" s="338" t="s">
        <v>956</v>
      </c>
      <c r="E1872" s="338" t="s">
        <v>5772</v>
      </c>
      <c r="F1872" s="338" t="s">
        <v>4928</v>
      </c>
      <c r="G1872" s="338" t="s">
        <v>413</v>
      </c>
      <c r="H1872" s="338" t="s">
        <v>425</v>
      </c>
      <c r="I1872" s="338" t="s">
        <v>411</v>
      </c>
      <c r="J1872" s="339"/>
      <c r="K1872" s="339"/>
      <c r="L1872" s="339">
        <v>1.1862999999999999</v>
      </c>
      <c r="M1872" s="339">
        <v>8.0235699999999994</v>
      </c>
      <c r="N1872" s="338"/>
      <c r="O1872" s="338" t="s">
        <v>408</v>
      </c>
      <c r="P1872" s="338" t="s">
        <v>417</v>
      </c>
    </row>
    <row r="1873" spans="2:16" x14ac:dyDescent="0.25">
      <c r="B1873" s="336" t="s">
        <v>416</v>
      </c>
      <c r="C1873" s="337">
        <v>40413</v>
      </c>
      <c r="D1873" s="338" t="s">
        <v>5771</v>
      </c>
      <c r="E1873" s="338" t="s">
        <v>5770</v>
      </c>
      <c r="F1873" s="338" t="s">
        <v>895</v>
      </c>
      <c r="G1873" s="338" t="s">
        <v>413</v>
      </c>
      <c r="H1873" s="338" t="s">
        <v>425</v>
      </c>
      <c r="I1873" s="338" t="s">
        <v>411</v>
      </c>
      <c r="J1873" s="339"/>
      <c r="K1873" s="339"/>
      <c r="L1873" s="339"/>
      <c r="M1873" s="339"/>
      <c r="N1873" s="338"/>
      <c r="O1873" s="338" t="s">
        <v>443</v>
      </c>
      <c r="P1873" s="338"/>
    </row>
    <row r="1874" spans="2:16" x14ac:dyDescent="0.25">
      <c r="B1874" s="336" t="s">
        <v>416</v>
      </c>
      <c r="C1874" s="337">
        <v>40413</v>
      </c>
      <c r="D1874" s="338" t="s">
        <v>5769</v>
      </c>
      <c r="E1874" s="338" t="s">
        <v>3857</v>
      </c>
      <c r="F1874" s="338"/>
      <c r="G1874" s="338">
        <v>95</v>
      </c>
      <c r="H1874" s="338" t="s">
        <v>425</v>
      </c>
      <c r="I1874" s="338" t="s">
        <v>411</v>
      </c>
      <c r="J1874" s="339"/>
      <c r="K1874" s="339"/>
      <c r="L1874" s="339" t="s">
        <v>409</v>
      </c>
      <c r="M1874" s="339" t="s">
        <v>409</v>
      </c>
      <c r="N1874" s="338" t="s">
        <v>885</v>
      </c>
      <c r="O1874" s="338" t="s">
        <v>409</v>
      </c>
      <c r="P1874" s="338" t="s">
        <v>417</v>
      </c>
    </row>
    <row r="1875" spans="2:16" x14ac:dyDescent="0.25">
      <c r="B1875" s="336" t="s">
        <v>416</v>
      </c>
      <c r="C1875" s="337">
        <v>40411</v>
      </c>
      <c r="D1875" s="338" t="s">
        <v>945</v>
      </c>
      <c r="E1875" s="338" t="s">
        <v>5768</v>
      </c>
      <c r="F1875" s="338" t="s">
        <v>4253</v>
      </c>
      <c r="G1875" s="338">
        <v>28</v>
      </c>
      <c r="H1875" s="338" t="s">
        <v>425</v>
      </c>
      <c r="I1875" s="338" t="s">
        <v>411</v>
      </c>
      <c r="J1875" s="339"/>
      <c r="K1875" s="339"/>
      <c r="L1875" s="339"/>
      <c r="M1875" s="339"/>
      <c r="N1875" s="338"/>
      <c r="O1875" s="338" t="s">
        <v>443</v>
      </c>
      <c r="P1875" s="338" t="s">
        <v>417</v>
      </c>
    </row>
    <row r="1876" spans="2:16" x14ac:dyDescent="0.25">
      <c r="B1876" s="336" t="s">
        <v>416</v>
      </c>
      <c r="C1876" s="337">
        <v>40410</v>
      </c>
      <c r="D1876" s="338" t="s">
        <v>4673</v>
      </c>
      <c r="E1876" s="338" t="s">
        <v>5767</v>
      </c>
      <c r="F1876" s="338"/>
      <c r="G1876" s="338">
        <v>100</v>
      </c>
      <c r="H1876" s="338" t="s">
        <v>412</v>
      </c>
      <c r="I1876" s="338" t="s">
        <v>411</v>
      </c>
      <c r="J1876" s="339"/>
      <c r="K1876" s="339"/>
      <c r="L1876" s="339" t="s">
        <v>409</v>
      </c>
      <c r="M1876" s="339" t="s">
        <v>409</v>
      </c>
      <c r="N1876" s="338" t="s">
        <v>432</v>
      </c>
      <c r="O1876" s="338" t="s">
        <v>409</v>
      </c>
      <c r="P1876" s="338" t="s">
        <v>432</v>
      </c>
    </row>
    <row r="1877" spans="2:16" x14ac:dyDescent="0.25">
      <c r="B1877" s="336" t="s">
        <v>416</v>
      </c>
      <c r="C1877" s="337">
        <v>40409</v>
      </c>
      <c r="D1877" s="338" t="s">
        <v>5766</v>
      </c>
      <c r="E1877" s="338" t="s">
        <v>5765</v>
      </c>
      <c r="F1877" s="338"/>
      <c r="G1877" s="338" t="s">
        <v>413</v>
      </c>
      <c r="H1877" s="338" t="s">
        <v>412</v>
      </c>
      <c r="I1877" s="338" t="s">
        <v>411</v>
      </c>
      <c r="J1877" s="339"/>
      <c r="K1877" s="339"/>
      <c r="L1877" s="339" t="s">
        <v>409</v>
      </c>
      <c r="M1877" s="339" t="s">
        <v>409</v>
      </c>
      <c r="N1877" s="338" t="s">
        <v>487</v>
      </c>
      <c r="O1877" s="338" t="s">
        <v>409</v>
      </c>
      <c r="P1877" s="338" t="s">
        <v>487</v>
      </c>
    </row>
    <row r="1878" spans="2:16" x14ac:dyDescent="0.25">
      <c r="B1878" s="336" t="s">
        <v>416</v>
      </c>
      <c r="C1878" s="337">
        <v>40409</v>
      </c>
      <c r="D1878" s="338" t="s">
        <v>956</v>
      </c>
      <c r="E1878" s="338" t="s">
        <v>3098</v>
      </c>
      <c r="F1878" s="338" t="s">
        <v>5764</v>
      </c>
      <c r="G1878" s="338" t="s">
        <v>413</v>
      </c>
      <c r="H1878" s="338" t="s">
        <v>425</v>
      </c>
      <c r="I1878" s="338" t="s">
        <v>411</v>
      </c>
      <c r="J1878" s="339"/>
      <c r="K1878" s="339"/>
      <c r="L1878" s="339"/>
      <c r="M1878" s="339"/>
      <c r="N1878" s="338"/>
      <c r="O1878" s="338" t="s">
        <v>885</v>
      </c>
      <c r="P1878" s="338" t="s">
        <v>417</v>
      </c>
    </row>
    <row r="1879" spans="2:16" x14ac:dyDescent="0.25">
      <c r="B1879" s="336" t="s">
        <v>416</v>
      </c>
      <c r="C1879" s="337">
        <v>40409</v>
      </c>
      <c r="D1879" s="338" t="s">
        <v>5763</v>
      </c>
      <c r="E1879" s="338" t="s">
        <v>5762</v>
      </c>
      <c r="F1879" s="338" t="s">
        <v>5761</v>
      </c>
      <c r="G1879" s="338" t="s">
        <v>413</v>
      </c>
      <c r="H1879" s="338" t="s">
        <v>425</v>
      </c>
      <c r="I1879" s="338" t="s">
        <v>411</v>
      </c>
      <c r="J1879" s="339"/>
      <c r="K1879" s="339"/>
      <c r="L1879" s="339"/>
      <c r="M1879" s="339"/>
      <c r="N1879" s="338"/>
      <c r="O1879" s="338" t="s">
        <v>487</v>
      </c>
      <c r="P1879" s="338" t="s">
        <v>487</v>
      </c>
    </row>
    <row r="1880" spans="2:16" x14ac:dyDescent="0.25">
      <c r="B1880" s="336" t="s">
        <v>416</v>
      </c>
      <c r="C1880" s="337">
        <v>40402</v>
      </c>
      <c r="D1880" s="338" t="s">
        <v>5760</v>
      </c>
      <c r="E1880" s="338" t="s">
        <v>5759</v>
      </c>
      <c r="F1880" s="338"/>
      <c r="G1880" s="338" t="s">
        <v>413</v>
      </c>
      <c r="H1880" s="338" t="s">
        <v>425</v>
      </c>
      <c r="I1880" s="338" t="s">
        <v>411</v>
      </c>
      <c r="J1880" s="339"/>
      <c r="K1880" s="339"/>
      <c r="L1880" s="339" t="s">
        <v>409</v>
      </c>
      <c r="M1880" s="339" t="s">
        <v>409</v>
      </c>
      <c r="N1880" s="338" t="s">
        <v>417</v>
      </c>
      <c r="O1880" s="338" t="s">
        <v>409</v>
      </c>
      <c r="P1880" s="338"/>
    </row>
    <row r="1881" spans="2:16" x14ac:dyDescent="0.25">
      <c r="B1881" s="336" t="s">
        <v>416</v>
      </c>
      <c r="C1881" s="337">
        <v>40400</v>
      </c>
      <c r="D1881" s="338" t="s">
        <v>5758</v>
      </c>
      <c r="E1881" s="338" t="s">
        <v>5547</v>
      </c>
      <c r="F1881" s="338" t="s">
        <v>5757</v>
      </c>
      <c r="G1881" s="338" t="s">
        <v>413</v>
      </c>
      <c r="H1881" s="338" t="s">
        <v>425</v>
      </c>
      <c r="I1881" s="338" t="s">
        <v>411</v>
      </c>
      <c r="J1881" s="339"/>
      <c r="K1881" s="339"/>
      <c r="L1881" s="339"/>
      <c r="M1881" s="339"/>
      <c r="N1881" s="338"/>
      <c r="O1881" s="338" t="s">
        <v>432</v>
      </c>
      <c r="P1881" s="338" t="s">
        <v>432</v>
      </c>
    </row>
    <row r="1882" spans="2:16" x14ac:dyDescent="0.25">
      <c r="B1882" s="336" t="s">
        <v>416</v>
      </c>
      <c r="C1882" s="337">
        <v>40399</v>
      </c>
      <c r="D1882" s="338" t="s">
        <v>5756</v>
      </c>
      <c r="E1882" s="338" t="s">
        <v>598</v>
      </c>
      <c r="F1882" s="338"/>
      <c r="G1882" s="338" t="s">
        <v>413</v>
      </c>
      <c r="H1882" s="338" t="s">
        <v>425</v>
      </c>
      <c r="I1882" s="338" t="s">
        <v>411</v>
      </c>
      <c r="J1882" s="339"/>
      <c r="K1882" s="339"/>
      <c r="L1882" s="339" t="s">
        <v>409</v>
      </c>
      <c r="M1882" s="339" t="s">
        <v>409</v>
      </c>
      <c r="N1882" s="338"/>
      <c r="O1882" s="338" t="s">
        <v>409</v>
      </c>
      <c r="P1882" s="338" t="s">
        <v>417</v>
      </c>
    </row>
    <row r="1883" spans="2:16" x14ac:dyDescent="0.25">
      <c r="B1883" s="336" t="s">
        <v>416</v>
      </c>
      <c r="C1883" s="337">
        <v>40399</v>
      </c>
      <c r="D1883" s="338" t="s">
        <v>5755</v>
      </c>
      <c r="E1883" s="338" t="s">
        <v>656</v>
      </c>
      <c r="F1883" s="338"/>
      <c r="G1883" s="338">
        <v>3222.02</v>
      </c>
      <c r="H1883" s="338" t="s">
        <v>336</v>
      </c>
      <c r="I1883" s="338" t="s">
        <v>411</v>
      </c>
      <c r="J1883" s="339">
        <v>2.1873200000000002</v>
      </c>
      <c r="K1883" s="339">
        <v>12.068300000000001</v>
      </c>
      <c r="L1883" s="339" t="s">
        <v>409</v>
      </c>
      <c r="M1883" s="339" t="s">
        <v>409</v>
      </c>
      <c r="N1883" s="338" t="s">
        <v>417</v>
      </c>
      <c r="O1883" s="338" t="s">
        <v>409</v>
      </c>
      <c r="P1883" s="338" t="s">
        <v>408</v>
      </c>
    </row>
    <row r="1884" spans="2:16" x14ac:dyDescent="0.25">
      <c r="B1884" s="336" t="s">
        <v>416</v>
      </c>
      <c r="C1884" s="337">
        <v>40399</v>
      </c>
      <c r="D1884" s="338" t="s">
        <v>5754</v>
      </c>
      <c r="E1884" s="338" t="s">
        <v>5414</v>
      </c>
      <c r="F1884" s="338" t="s">
        <v>5753</v>
      </c>
      <c r="G1884" s="338" t="s">
        <v>413</v>
      </c>
      <c r="H1884" s="338" t="s">
        <v>425</v>
      </c>
      <c r="I1884" s="338" t="s">
        <v>411</v>
      </c>
      <c r="J1884" s="339"/>
      <c r="K1884" s="339"/>
      <c r="L1884" s="339"/>
      <c r="M1884" s="339"/>
      <c r="N1884" s="338"/>
      <c r="O1884" s="338" t="s">
        <v>417</v>
      </c>
      <c r="P1884" s="338" t="s">
        <v>885</v>
      </c>
    </row>
    <row r="1885" spans="2:16" x14ac:dyDescent="0.25">
      <c r="B1885" s="336" t="s">
        <v>416</v>
      </c>
      <c r="C1885" s="337">
        <v>40396</v>
      </c>
      <c r="D1885" s="338" t="s">
        <v>3488</v>
      </c>
      <c r="E1885" s="338" t="s">
        <v>5752</v>
      </c>
      <c r="F1885" s="338"/>
      <c r="G1885" s="338" t="s">
        <v>413</v>
      </c>
      <c r="H1885" s="338" t="s">
        <v>425</v>
      </c>
      <c r="I1885" s="338" t="s">
        <v>411</v>
      </c>
      <c r="J1885" s="339"/>
      <c r="K1885" s="339"/>
      <c r="L1885" s="339" t="s">
        <v>409</v>
      </c>
      <c r="M1885" s="339" t="s">
        <v>409</v>
      </c>
      <c r="N1885" s="338"/>
      <c r="O1885" s="338" t="s">
        <v>409</v>
      </c>
      <c r="P1885" s="338" t="s">
        <v>417</v>
      </c>
    </row>
    <row r="1886" spans="2:16" x14ac:dyDescent="0.25">
      <c r="B1886" s="336" t="s">
        <v>416</v>
      </c>
      <c r="C1886" s="337">
        <v>40395</v>
      </c>
      <c r="D1886" s="338" t="s">
        <v>945</v>
      </c>
      <c r="E1886" s="338" t="s">
        <v>2133</v>
      </c>
      <c r="F1886" s="338" t="s">
        <v>5751</v>
      </c>
      <c r="G1886" s="338" t="s">
        <v>413</v>
      </c>
      <c r="H1886" s="338" t="s">
        <v>425</v>
      </c>
      <c r="I1886" s="338" t="s">
        <v>411</v>
      </c>
      <c r="J1886" s="339"/>
      <c r="K1886" s="339"/>
      <c r="L1886" s="339"/>
      <c r="M1886" s="339"/>
      <c r="N1886" s="338"/>
      <c r="O1886" s="338" t="s">
        <v>410</v>
      </c>
      <c r="P1886" s="338" t="s">
        <v>417</v>
      </c>
    </row>
    <row r="1887" spans="2:16" x14ac:dyDescent="0.25">
      <c r="B1887" s="336" t="s">
        <v>416</v>
      </c>
      <c r="C1887" s="337">
        <v>40395</v>
      </c>
      <c r="D1887" s="338" t="s">
        <v>5750</v>
      </c>
      <c r="E1887" s="338" t="s">
        <v>939</v>
      </c>
      <c r="F1887" s="338"/>
      <c r="G1887" s="338">
        <v>593</v>
      </c>
      <c r="H1887" s="338" t="s">
        <v>425</v>
      </c>
      <c r="I1887" s="338" t="s">
        <v>411</v>
      </c>
      <c r="J1887" s="339"/>
      <c r="K1887" s="339"/>
      <c r="L1887" s="339" t="s">
        <v>409</v>
      </c>
      <c r="M1887" s="339" t="s">
        <v>409</v>
      </c>
      <c r="N1887" s="338" t="s">
        <v>417</v>
      </c>
      <c r="O1887" s="338" t="s">
        <v>409</v>
      </c>
      <c r="P1887" s="338"/>
    </row>
    <row r="1888" spans="2:16" x14ac:dyDescent="0.25">
      <c r="B1888" s="336" t="s">
        <v>416</v>
      </c>
      <c r="C1888" s="337">
        <v>40395</v>
      </c>
      <c r="D1888" s="338" t="s">
        <v>5749</v>
      </c>
      <c r="E1888" s="338" t="s">
        <v>2605</v>
      </c>
      <c r="F1888" s="338" t="s">
        <v>5748</v>
      </c>
      <c r="G1888" s="338" t="s">
        <v>413</v>
      </c>
      <c r="H1888" s="338" t="s">
        <v>425</v>
      </c>
      <c r="I1888" s="338" t="s">
        <v>411</v>
      </c>
      <c r="J1888" s="339"/>
      <c r="K1888" s="339"/>
      <c r="L1888" s="339"/>
      <c r="M1888" s="339"/>
      <c r="N1888" s="338"/>
      <c r="O1888" s="338" t="s">
        <v>410</v>
      </c>
      <c r="P1888" s="338" t="s">
        <v>417</v>
      </c>
    </row>
    <row r="1889" spans="2:16" x14ac:dyDescent="0.25">
      <c r="B1889" s="336" t="s">
        <v>416</v>
      </c>
      <c r="C1889" s="337">
        <v>40395</v>
      </c>
      <c r="D1889" s="338" t="s">
        <v>956</v>
      </c>
      <c r="E1889" s="338" t="s">
        <v>5747</v>
      </c>
      <c r="F1889" s="338" t="s">
        <v>5746</v>
      </c>
      <c r="G1889" s="338" t="s">
        <v>413</v>
      </c>
      <c r="H1889" s="338" t="s">
        <v>425</v>
      </c>
      <c r="I1889" s="338" t="s">
        <v>411</v>
      </c>
      <c r="J1889" s="339"/>
      <c r="K1889" s="339"/>
      <c r="L1889" s="339"/>
      <c r="M1889" s="339"/>
      <c r="N1889" s="338"/>
      <c r="O1889" s="338" t="s">
        <v>417</v>
      </c>
      <c r="P1889" s="338" t="s">
        <v>417</v>
      </c>
    </row>
    <row r="1890" spans="2:16" x14ac:dyDescent="0.25">
      <c r="B1890" s="336" t="s">
        <v>416</v>
      </c>
      <c r="C1890" s="337">
        <v>40395</v>
      </c>
      <c r="D1890" s="338" t="s">
        <v>5745</v>
      </c>
      <c r="E1890" s="338" t="s">
        <v>939</v>
      </c>
      <c r="F1890" s="338"/>
      <c r="G1890" s="338">
        <v>593</v>
      </c>
      <c r="H1890" s="338" t="s">
        <v>425</v>
      </c>
      <c r="I1890" s="338" t="s">
        <v>411</v>
      </c>
      <c r="J1890" s="339"/>
      <c r="K1890" s="339"/>
      <c r="L1890" s="339" t="s">
        <v>409</v>
      </c>
      <c r="M1890" s="339" t="s">
        <v>409</v>
      </c>
      <c r="N1890" s="338" t="s">
        <v>417</v>
      </c>
      <c r="O1890" s="338" t="s">
        <v>409</v>
      </c>
      <c r="P1890" s="338"/>
    </row>
    <row r="1891" spans="2:16" x14ac:dyDescent="0.25">
      <c r="B1891" s="336" t="s">
        <v>416</v>
      </c>
      <c r="C1891" s="337">
        <v>40394</v>
      </c>
      <c r="D1891" s="338" t="s">
        <v>945</v>
      </c>
      <c r="E1891" s="338" t="s">
        <v>5744</v>
      </c>
      <c r="F1891" s="338" t="s">
        <v>5743</v>
      </c>
      <c r="G1891" s="338" t="s">
        <v>413</v>
      </c>
      <c r="H1891" s="338" t="s">
        <v>412</v>
      </c>
      <c r="I1891" s="338" t="s">
        <v>411</v>
      </c>
      <c r="J1891" s="339"/>
      <c r="K1891" s="339"/>
      <c r="L1891" s="339"/>
      <c r="M1891" s="339"/>
      <c r="N1891" s="338"/>
      <c r="O1891" s="338" t="s">
        <v>417</v>
      </c>
      <c r="P1891" s="338" t="s">
        <v>417</v>
      </c>
    </row>
    <row r="1892" spans="2:16" x14ac:dyDescent="0.25">
      <c r="B1892" s="336" t="s">
        <v>416</v>
      </c>
      <c r="C1892" s="337">
        <v>40393</v>
      </c>
      <c r="D1892" s="338" t="s">
        <v>5742</v>
      </c>
      <c r="E1892" s="338" t="s">
        <v>939</v>
      </c>
      <c r="F1892" s="338" t="s">
        <v>573</v>
      </c>
      <c r="G1892" s="338" t="s">
        <v>413</v>
      </c>
      <c r="H1892" s="338" t="s">
        <v>425</v>
      </c>
      <c r="I1892" s="338" t="s">
        <v>411</v>
      </c>
      <c r="J1892" s="339"/>
      <c r="K1892" s="339"/>
      <c r="L1892" s="339">
        <v>3.0509499999999998</v>
      </c>
      <c r="M1892" s="339">
        <v>11.4476</v>
      </c>
      <c r="N1892" s="338" t="s">
        <v>417</v>
      </c>
      <c r="O1892" s="338" t="s">
        <v>432</v>
      </c>
      <c r="P1892" s="338"/>
    </row>
    <row r="1893" spans="2:16" x14ac:dyDescent="0.25">
      <c r="B1893" s="336" t="s">
        <v>416</v>
      </c>
      <c r="C1893" s="337">
        <v>40392</v>
      </c>
      <c r="D1893" s="338" t="s">
        <v>5741</v>
      </c>
      <c r="E1893" s="338" t="s">
        <v>450</v>
      </c>
      <c r="F1893" s="338" t="s">
        <v>5740</v>
      </c>
      <c r="G1893" s="338">
        <v>70</v>
      </c>
      <c r="H1893" s="338" t="s">
        <v>429</v>
      </c>
      <c r="I1893" s="338" t="s">
        <v>411</v>
      </c>
      <c r="J1893" s="339"/>
      <c r="K1893" s="339"/>
      <c r="L1893" s="339"/>
      <c r="M1893" s="339"/>
      <c r="N1893" s="338"/>
      <c r="O1893" s="338" t="s">
        <v>417</v>
      </c>
      <c r="P1893" s="338" t="s">
        <v>417</v>
      </c>
    </row>
    <row r="1894" spans="2:16" x14ac:dyDescent="0.25">
      <c r="B1894" s="336" t="s">
        <v>416</v>
      </c>
      <c r="C1894" s="337">
        <v>40389</v>
      </c>
      <c r="D1894" s="338" t="s">
        <v>5739</v>
      </c>
      <c r="E1894" s="338" t="s">
        <v>2356</v>
      </c>
      <c r="F1894" s="338"/>
      <c r="G1894" s="338">
        <v>3.84</v>
      </c>
      <c r="H1894" s="338" t="s">
        <v>425</v>
      </c>
      <c r="I1894" s="338" t="s">
        <v>411</v>
      </c>
      <c r="J1894" s="339"/>
      <c r="K1894" s="339"/>
      <c r="L1894" s="339" t="s">
        <v>409</v>
      </c>
      <c r="M1894" s="339" t="s">
        <v>409</v>
      </c>
      <c r="N1894" s="338"/>
      <c r="O1894" s="338" t="s">
        <v>409</v>
      </c>
      <c r="P1894" s="338" t="s">
        <v>443</v>
      </c>
    </row>
    <row r="1895" spans="2:16" x14ac:dyDescent="0.25">
      <c r="B1895" s="336" t="s">
        <v>416</v>
      </c>
      <c r="C1895" s="337">
        <v>40389</v>
      </c>
      <c r="D1895" s="338" t="s">
        <v>5738</v>
      </c>
      <c r="E1895" s="338" t="s">
        <v>5737</v>
      </c>
      <c r="F1895" s="338"/>
      <c r="G1895" s="338" t="s">
        <v>413</v>
      </c>
      <c r="H1895" s="338" t="s">
        <v>412</v>
      </c>
      <c r="I1895" s="338" t="s">
        <v>411</v>
      </c>
      <c r="J1895" s="339"/>
      <c r="K1895" s="339"/>
      <c r="L1895" s="339" t="s">
        <v>409</v>
      </c>
      <c r="M1895" s="339" t="s">
        <v>409</v>
      </c>
      <c r="N1895" s="338" t="s">
        <v>417</v>
      </c>
      <c r="O1895" s="338" t="s">
        <v>409</v>
      </c>
      <c r="P1895" s="338" t="s">
        <v>417</v>
      </c>
    </row>
    <row r="1896" spans="2:16" x14ac:dyDescent="0.25">
      <c r="B1896" s="336" t="s">
        <v>416</v>
      </c>
      <c r="C1896" s="337">
        <v>40388</v>
      </c>
      <c r="D1896" s="338" t="s">
        <v>5736</v>
      </c>
      <c r="E1896" s="338" t="s">
        <v>5735</v>
      </c>
      <c r="F1896" s="338" t="s">
        <v>5734</v>
      </c>
      <c r="G1896" s="338" t="s">
        <v>413</v>
      </c>
      <c r="H1896" s="338" t="s">
        <v>412</v>
      </c>
      <c r="I1896" s="338" t="s">
        <v>411</v>
      </c>
      <c r="J1896" s="339"/>
      <c r="K1896" s="339"/>
      <c r="L1896" s="339"/>
      <c r="M1896" s="339"/>
      <c r="N1896" s="338" t="s">
        <v>417</v>
      </c>
      <c r="O1896" s="338" t="s">
        <v>443</v>
      </c>
      <c r="P1896" s="338" t="s">
        <v>417</v>
      </c>
    </row>
    <row r="1897" spans="2:16" x14ac:dyDescent="0.25">
      <c r="B1897" s="336" t="s">
        <v>542</v>
      </c>
      <c r="C1897" s="337">
        <v>40387</v>
      </c>
      <c r="D1897" s="338" t="s">
        <v>1225</v>
      </c>
      <c r="E1897" s="338" t="s">
        <v>539</v>
      </c>
      <c r="F1897" s="338"/>
      <c r="G1897" s="338">
        <v>500</v>
      </c>
      <c r="H1897" s="338"/>
      <c r="I1897" s="338" t="s">
        <v>411</v>
      </c>
      <c r="J1897" s="339">
        <v>0.44024200000000002</v>
      </c>
      <c r="K1897" s="339">
        <v>9.0534700000000008</v>
      </c>
      <c r="L1897" s="339" t="s">
        <v>409</v>
      </c>
      <c r="M1897" s="339" t="s">
        <v>409</v>
      </c>
      <c r="N1897" s="338" t="s">
        <v>417</v>
      </c>
      <c r="O1897" s="338" t="s">
        <v>409</v>
      </c>
      <c r="P1897" s="338" t="s">
        <v>417</v>
      </c>
    </row>
    <row r="1898" spans="2:16" x14ac:dyDescent="0.25">
      <c r="B1898" s="336" t="s">
        <v>416</v>
      </c>
      <c r="C1898" s="337">
        <v>40386</v>
      </c>
      <c r="D1898" s="338" t="s">
        <v>5733</v>
      </c>
      <c r="E1898" s="338" t="s">
        <v>540</v>
      </c>
      <c r="F1898" s="338"/>
      <c r="G1898" s="338" t="s">
        <v>413</v>
      </c>
      <c r="H1898" s="338" t="s">
        <v>412</v>
      </c>
      <c r="I1898" s="338" t="s">
        <v>411</v>
      </c>
      <c r="J1898" s="339"/>
      <c r="K1898" s="339"/>
      <c r="L1898" s="339" t="s">
        <v>409</v>
      </c>
      <c r="M1898" s="339" t="s">
        <v>409</v>
      </c>
      <c r="N1898" s="338" t="s">
        <v>432</v>
      </c>
      <c r="O1898" s="338" t="s">
        <v>409</v>
      </c>
      <c r="P1898" s="338" t="s">
        <v>417</v>
      </c>
    </row>
    <row r="1899" spans="2:16" x14ac:dyDescent="0.25">
      <c r="B1899" s="336" t="s">
        <v>416</v>
      </c>
      <c r="C1899" s="337">
        <v>40382</v>
      </c>
      <c r="D1899" s="338" t="s">
        <v>956</v>
      </c>
      <c r="E1899" s="338" t="s">
        <v>4760</v>
      </c>
      <c r="F1899" s="338" t="s">
        <v>5732</v>
      </c>
      <c r="G1899" s="338" t="s">
        <v>413</v>
      </c>
      <c r="H1899" s="338" t="s">
        <v>425</v>
      </c>
      <c r="I1899" s="338" t="s">
        <v>411</v>
      </c>
      <c r="J1899" s="339"/>
      <c r="K1899" s="339"/>
      <c r="L1899" s="339">
        <v>1.4431</v>
      </c>
      <c r="M1899" s="339">
        <v>5.6900300000000001</v>
      </c>
      <c r="N1899" s="338"/>
      <c r="O1899" s="338" t="s">
        <v>432</v>
      </c>
      <c r="P1899" s="338" t="s">
        <v>417</v>
      </c>
    </row>
    <row r="1900" spans="2:16" x14ac:dyDescent="0.25">
      <c r="B1900" s="336" t="s">
        <v>416</v>
      </c>
      <c r="C1900" s="337">
        <v>40382</v>
      </c>
      <c r="D1900" s="338" t="s">
        <v>5731</v>
      </c>
      <c r="E1900" s="338" t="s">
        <v>3494</v>
      </c>
      <c r="F1900" s="338" t="s">
        <v>807</v>
      </c>
      <c r="G1900" s="338" t="s">
        <v>413</v>
      </c>
      <c r="H1900" s="338" t="s">
        <v>425</v>
      </c>
      <c r="I1900" s="338" t="s">
        <v>411</v>
      </c>
      <c r="J1900" s="339"/>
      <c r="K1900" s="339"/>
      <c r="L1900" s="339"/>
      <c r="M1900" s="339"/>
      <c r="N1900" s="338"/>
      <c r="O1900" s="338" t="s">
        <v>417</v>
      </c>
      <c r="P1900" s="338" t="s">
        <v>417</v>
      </c>
    </row>
    <row r="1901" spans="2:16" x14ac:dyDescent="0.25">
      <c r="B1901" s="336" t="s">
        <v>416</v>
      </c>
      <c r="C1901" s="337">
        <v>40381</v>
      </c>
      <c r="D1901" s="338" t="s">
        <v>438</v>
      </c>
      <c r="E1901" s="338" t="s">
        <v>5730</v>
      </c>
      <c r="F1901" s="338"/>
      <c r="G1901" s="338">
        <v>54.07</v>
      </c>
      <c r="H1901" s="338" t="s">
        <v>425</v>
      </c>
      <c r="I1901" s="338" t="s">
        <v>411</v>
      </c>
      <c r="J1901" s="339">
        <v>1.10077</v>
      </c>
      <c r="K1901" s="339">
        <v>6.5933299999999999</v>
      </c>
      <c r="L1901" s="339" t="s">
        <v>409</v>
      </c>
      <c r="M1901" s="339" t="s">
        <v>409</v>
      </c>
      <c r="N1901" s="338" t="s">
        <v>417</v>
      </c>
      <c r="O1901" s="338" t="s">
        <v>409</v>
      </c>
      <c r="P1901" s="338" t="s">
        <v>417</v>
      </c>
    </row>
    <row r="1902" spans="2:16" x14ac:dyDescent="0.25">
      <c r="B1902" s="336" t="s">
        <v>416</v>
      </c>
      <c r="C1902" s="337">
        <v>40381</v>
      </c>
      <c r="D1902" s="338" t="s">
        <v>5729</v>
      </c>
      <c r="E1902" s="338" t="s">
        <v>475</v>
      </c>
      <c r="F1902" s="338"/>
      <c r="G1902" s="338" t="s">
        <v>413</v>
      </c>
      <c r="H1902" s="338" t="s">
        <v>425</v>
      </c>
      <c r="I1902" s="338" t="s">
        <v>411</v>
      </c>
      <c r="J1902" s="339"/>
      <c r="K1902" s="339"/>
      <c r="L1902" s="339" t="s">
        <v>409</v>
      </c>
      <c r="M1902" s="339" t="s">
        <v>409</v>
      </c>
      <c r="N1902" s="338"/>
      <c r="O1902" s="338" t="s">
        <v>409</v>
      </c>
      <c r="P1902" s="338" t="s">
        <v>417</v>
      </c>
    </row>
    <row r="1903" spans="2:16" x14ac:dyDescent="0.25">
      <c r="B1903" s="336" t="s">
        <v>416</v>
      </c>
      <c r="C1903" s="337">
        <v>40380</v>
      </c>
      <c r="D1903" s="338" t="s">
        <v>5728</v>
      </c>
      <c r="E1903" s="338" t="s">
        <v>5727</v>
      </c>
      <c r="F1903" s="338" t="s">
        <v>5726</v>
      </c>
      <c r="G1903" s="338">
        <v>49</v>
      </c>
      <c r="H1903" s="338" t="s">
        <v>425</v>
      </c>
      <c r="I1903" s="338" t="s">
        <v>411</v>
      </c>
      <c r="J1903" s="339"/>
      <c r="K1903" s="339"/>
      <c r="L1903" s="339">
        <v>1.26702</v>
      </c>
      <c r="M1903" s="339">
        <v>7.65984</v>
      </c>
      <c r="N1903" s="338" t="s">
        <v>417</v>
      </c>
      <c r="O1903" s="338" t="s">
        <v>885</v>
      </c>
      <c r="P1903" s="338" t="s">
        <v>408</v>
      </c>
    </row>
    <row r="1904" spans="2:16" x14ac:dyDescent="0.25">
      <c r="B1904" s="336" t="s">
        <v>459</v>
      </c>
      <c r="C1904" s="337">
        <v>40380</v>
      </c>
      <c r="D1904" s="338" t="s">
        <v>4065</v>
      </c>
      <c r="E1904" s="338" t="s">
        <v>5725</v>
      </c>
      <c r="F1904" s="338"/>
      <c r="G1904" s="338">
        <v>12</v>
      </c>
      <c r="H1904" s="338" t="s">
        <v>425</v>
      </c>
      <c r="I1904" s="338" t="s">
        <v>411</v>
      </c>
      <c r="J1904" s="339"/>
      <c r="K1904" s="339"/>
      <c r="L1904" s="339" t="s">
        <v>409</v>
      </c>
      <c r="M1904" s="339" t="s">
        <v>409</v>
      </c>
      <c r="N1904" s="338" t="s">
        <v>417</v>
      </c>
      <c r="O1904" s="338" t="s">
        <v>409</v>
      </c>
      <c r="P1904" s="338"/>
    </row>
    <row r="1905" spans="2:16" x14ac:dyDescent="0.25">
      <c r="B1905" s="336" t="s">
        <v>416</v>
      </c>
      <c r="C1905" s="337">
        <v>40379</v>
      </c>
      <c r="D1905" s="338" t="s">
        <v>5724</v>
      </c>
      <c r="E1905" s="338" t="s">
        <v>5723</v>
      </c>
      <c r="F1905" s="338" t="s">
        <v>5722</v>
      </c>
      <c r="G1905" s="338" t="s">
        <v>413</v>
      </c>
      <c r="H1905" s="338" t="s">
        <v>425</v>
      </c>
      <c r="I1905" s="338" t="s">
        <v>411</v>
      </c>
      <c r="J1905" s="339"/>
      <c r="K1905" s="339"/>
      <c r="L1905" s="339">
        <v>5.2866</v>
      </c>
      <c r="M1905" s="339">
        <v>15.459899999999999</v>
      </c>
      <c r="N1905" s="338"/>
      <c r="O1905" s="338" t="s">
        <v>410</v>
      </c>
      <c r="P1905" s="338" t="s">
        <v>410</v>
      </c>
    </row>
    <row r="1906" spans="2:16" x14ac:dyDescent="0.25">
      <c r="B1906" s="336" t="s">
        <v>416</v>
      </c>
      <c r="C1906" s="337">
        <v>40379</v>
      </c>
      <c r="D1906" s="338" t="s">
        <v>5721</v>
      </c>
      <c r="E1906" s="338" t="s">
        <v>5720</v>
      </c>
      <c r="F1906" s="338" t="s">
        <v>598</v>
      </c>
      <c r="G1906" s="338" t="s">
        <v>413</v>
      </c>
      <c r="H1906" s="338" t="s">
        <v>425</v>
      </c>
      <c r="I1906" s="338" t="s">
        <v>411</v>
      </c>
      <c r="J1906" s="339"/>
      <c r="K1906" s="339"/>
      <c r="L1906" s="339">
        <v>0.68403599999999998</v>
      </c>
      <c r="M1906" s="339">
        <v>13.4612</v>
      </c>
      <c r="N1906" s="338"/>
      <c r="O1906" s="338" t="s">
        <v>417</v>
      </c>
      <c r="P1906" s="338" t="s">
        <v>417</v>
      </c>
    </row>
    <row r="1907" spans="2:16" x14ac:dyDescent="0.25">
      <c r="B1907" s="336" t="s">
        <v>416</v>
      </c>
      <c r="C1907" s="337">
        <v>40379</v>
      </c>
      <c r="D1907" s="338" t="s">
        <v>5719</v>
      </c>
      <c r="E1907" s="338" t="s">
        <v>5718</v>
      </c>
      <c r="F1907" s="338" t="s">
        <v>5717</v>
      </c>
      <c r="G1907" s="338" t="s">
        <v>413</v>
      </c>
      <c r="H1907" s="338" t="s">
        <v>425</v>
      </c>
      <c r="I1907" s="338" t="s">
        <v>411</v>
      </c>
      <c r="J1907" s="339"/>
      <c r="K1907" s="339"/>
      <c r="L1907" s="339"/>
      <c r="M1907" s="339"/>
      <c r="N1907" s="338"/>
      <c r="O1907" s="338" t="s">
        <v>417</v>
      </c>
      <c r="P1907" s="338" t="s">
        <v>417</v>
      </c>
    </row>
    <row r="1908" spans="2:16" x14ac:dyDescent="0.25">
      <c r="B1908" s="336" t="s">
        <v>416</v>
      </c>
      <c r="C1908" s="337">
        <v>40379</v>
      </c>
      <c r="D1908" s="338" t="s">
        <v>5716</v>
      </c>
      <c r="E1908" s="338" t="s">
        <v>598</v>
      </c>
      <c r="F1908" s="338"/>
      <c r="G1908" s="338" t="s">
        <v>413</v>
      </c>
      <c r="H1908" s="338" t="s">
        <v>425</v>
      </c>
      <c r="I1908" s="338" t="s">
        <v>411</v>
      </c>
      <c r="J1908" s="339"/>
      <c r="K1908" s="339"/>
      <c r="L1908" s="339" t="s">
        <v>409</v>
      </c>
      <c r="M1908" s="339" t="s">
        <v>409</v>
      </c>
      <c r="N1908" s="338"/>
      <c r="O1908" s="338" t="s">
        <v>409</v>
      </c>
      <c r="P1908" s="338" t="s">
        <v>417</v>
      </c>
    </row>
    <row r="1909" spans="2:16" x14ac:dyDescent="0.25">
      <c r="B1909" s="336" t="s">
        <v>416</v>
      </c>
      <c r="C1909" s="337">
        <v>40378</v>
      </c>
      <c r="D1909" s="338" t="s">
        <v>5715</v>
      </c>
      <c r="E1909" s="338" t="s">
        <v>485</v>
      </c>
      <c r="F1909" s="338" t="s">
        <v>438</v>
      </c>
      <c r="G1909" s="338" t="s">
        <v>413</v>
      </c>
      <c r="H1909" s="338" t="s">
        <v>429</v>
      </c>
      <c r="I1909" s="338" t="s">
        <v>411</v>
      </c>
      <c r="J1909" s="339"/>
      <c r="K1909" s="339"/>
      <c r="L1909" s="339">
        <v>1.10077</v>
      </c>
      <c r="M1909" s="339">
        <v>6.5933299999999999</v>
      </c>
      <c r="N1909" s="338"/>
      <c r="O1909" s="338" t="s">
        <v>417</v>
      </c>
      <c r="P1909" s="338" t="s">
        <v>417</v>
      </c>
    </row>
    <row r="1910" spans="2:16" x14ac:dyDescent="0.25">
      <c r="B1910" s="336" t="s">
        <v>416</v>
      </c>
      <c r="C1910" s="337">
        <v>40378</v>
      </c>
      <c r="D1910" s="338" t="s">
        <v>5714</v>
      </c>
      <c r="E1910" s="338" t="s">
        <v>5713</v>
      </c>
      <c r="F1910" s="338"/>
      <c r="G1910" s="338">
        <v>17</v>
      </c>
      <c r="H1910" s="338" t="s">
        <v>425</v>
      </c>
      <c r="I1910" s="338" t="s">
        <v>411</v>
      </c>
      <c r="J1910" s="339"/>
      <c r="K1910" s="339"/>
      <c r="L1910" s="339" t="s">
        <v>409</v>
      </c>
      <c r="M1910" s="339" t="s">
        <v>409</v>
      </c>
      <c r="N1910" s="338" t="s">
        <v>417</v>
      </c>
      <c r="O1910" s="338" t="s">
        <v>409</v>
      </c>
      <c r="P1910" s="338" t="s">
        <v>417</v>
      </c>
    </row>
    <row r="1911" spans="2:16" x14ac:dyDescent="0.25">
      <c r="B1911" s="336" t="s">
        <v>416</v>
      </c>
      <c r="C1911" s="337">
        <v>40374</v>
      </c>
      <c r="D1911" s="338" t="s">
        <v>945</v>
      </c>
      <c r="E1911" s="338" t="s">
        <v>5712</v>
      </c>
      <c r="F1911" s="338" t="s">
        <v>5711</v>
      </c>
      <c r="G1911" s="338">
        <v>0.19</v>
      </c>
      <c r="H1911" s="338" t="s">
        <v>425</v>
      </c>
      <c r="I1911" s="338" t="s">
        <v>411</v>
      </c>
      <c r="J1911" s="339"/>
      <c r="K1911" s="339"/>
      <c r="L1911" s="339"/>
      <c r="M1911" s="339"/>
      <c r="N1911" s="338"/>
      <c r="O1911" s="338" t="s">
        <v>417</v>
      </c>
      <c r="P1911" s="338" t="s">
        <v>417</v>
      </c>
    </row>
    <row r="1912" spans="2:16" x14ac:dyDescent="0.25">
      <c r="B1912" s="336" t="s">
        <v>416</v>
      </c>
      <c r="C1912" s="337">
        <v>40373</v>
      </c>
      <c r="D1912" s="338" t="s">
        <v>5710</v>
      </c>
      <c r="E1912" s="338" t="s">
        <v>5709</v>
      </c>
      <c r="F1912" s="338"/>
      <c r="G1912" s="338" t="s">
        <v>413</v>
      </c>
      <c r="H1912" s="338" t="s">
        <v>412</v>
      </c>
      <c r="I1912" s="338" t="s">
        <v>411</v>
      </c>
      <c r="J1912" s="339"/>
      <c r="K1912" s="339"/>
      <c r="L1912" s="339" t="s">
        <v>409</v>
      </c>
      <c r="M1912" s="339" t="s">
        <v>409</v>
      </c>
      <c r="N1912" s="338"/>
      <c r="O1912" s="338" t="s">
        <v>409</v>
      </c>
      <c r="P1912" s="338" t="s">
        <v>410</v>
      </c>
    </row>
    <row r="1913" spans="2:16" x14ac:dyDescent="0.25">
      <c r="B1913" s="336" t="s">
        <v>416</v>
      </c>
      <c r="C1913" s="337">
        <v>40372</v>
      </c>
      <c r="D1913" s="338" t="s">
        <v>5708</v>
      </c>
      <c r="E1913" s="338" t="s">
        <v>5707</v>
      </c>
      <c r="F1913" s="338" t="s">
        <v>2773</v>
      </c>
      <c r="G1913" s="338">
        <v>31</v>
      </c>
      <c r="H1913" s="338" t="s">
        <v>425</v>
      </c>
      <c r="I1913" s="338" t="s">
        <v>411</v>
      </c>
      <c r="J1913" s="339"/>
      <c r="K1913" s="339"/>
      <c r="L1913" s="339">
        <v>0.111817</v>
      </c>
      <c r="M1913" s="339"/>
      <c r="N1913" s="338" t="s">
        <v>417</v>
      </c>
      <c r="O1913" s="338" t="s">
        <v>417</v>
      </c>
      <c r="P1913" s="338" t="s">
        <v>443</v>
      </c>
    </row>
    <row r="1914" spans="2:16" x14ac:dyDescent="0.25">
      <c r="B1914" s="336" t="s">
        <v>416</v>
      </c>
      <c r="C1914" s="337">
        <v>40372</v>
      </c>
      <c r="D1914" s="338" t="s">
        <v>5706</v>
      </c>
      <c r="E1914" s="338" t="s">
        <v>3098</v>
      </c>
      <c r="F1914" s="338"/>
      <c r="G1914" s="338">
        <v>7</v>
      </c>
      <c r="H1914" s="338" t="s">
        <v>425</v>
      </c>
      <c r="I1914" s="338" t="s">
        <v>411</v>
      </c>
      <c r="J1914" s="339"/>
      <c r="K1914" s="339"/>
      <c r="L1914" s="339" t="s">
        <v>409</v>
      </c>
      <c r="M1914" s="339" t="s">
        <v>409</v>
      </c>
      <c r="N1914" s="338" t="s">
        <v>408</v>
      </c>
      <c r="O1914" s="338" t="s">
        <v>409</v>
      </c>
      <c r="P1914" s="338" t="s">
        <v>417</v>
      </c>
    </row>
    <row r="1915" spans="2:16" x14ac:dyDescent="0.25">
      <c r="B1915" s="336" t="s">
        <v>416</v>
      </c>
      <c r="C1915" s="337">
        <v>40371</v>
      </c>
      <c r="D1915" s="338" t="s">
        <v>5705</v>
      </c>
      <c r="E1915" s="338" t="s">
        <v>5704</v>
      </c>
      <c r="F1915" s="338"/>
      <c r="G1915" s="338">
        <v>650</v>
      </c>
      <c r="H1915" s="338" t="s">
        <v>425</v>
      </c>
      <c r="I1915" s="338" t="s">
        <v>411</v>
      </c>
      <c r="J1915" s="339"/>
      <c r="K1915" s="339"/>
      <c r="L1915" s="339" t="s">
        <v>409</v>
      </c>
      <c r="M1915" s="339" t="s">
        <v>409</v>
      </c>
      <c r="N1915" s="338" t="s">
        <v>417</v>
      </c>
      <c r="O1915" s="338" t="s">
        <v>409</v>
      </c>
      <c r="P1915" s="338" t="s">
        <v>410</v>
      </c>
    </row>
    <row r="1916" spans="2:16" x14ac:dyDescent="0.25">
      <c r="B1916" s="336" t="s">
        <v>459</v>
      </c>
      <c r="C1916" s="337">
        <v>40371</v>
      </c>
      <c r="D1916" s="338" t="s">
        <v>5703</v>
      </c>
      <c r="E1916" s="338" t="s">
        <v>5702</v>
      </c>
      <c r="F1916" s="338"/>
      <c r="G1916" s="338">
        <v>12</v>
      </c>
      <c r="H1916" s="338" t="s">
        <v>425</v>
      </c>
      <c r="I1916" s="338" t="s">
        <v>411</v>
      </c>
      <c r="J1916" s="339"/>
      <c r="K1916" s="339"/>
      <c r="L1916" s="339" t="s">
        <v>409</v>
      </c>
      <c r="M1916" s="339" t="s">
        <v>409</v>
      </c>
      <c r="N1916" s="338" t="s">
        <v>432</v>
      </c>
      <c r="O1916" s="338" t="s">
        <v>409</v>
      </c>
      <c r="P1916" s="338"/>
    </row>
    <row r="1917" spans="2:16" x14ac:dyDescent="0.25">
      <c r="B1917" s="336" t="s">
        <v>416</v>
      </c>
      <c r="C1917" s="337">
        <v>40367</v>
      </c>
      <c r="D1917" s="338" t="s">
        <v>5701</v>
      </c>
      <c r="E1917" s="338" t="s">
        <v>5700</v>
      </c>
      <c r="F1917" s="338"/>
      <c r="G1917" s="338" t="s">
        <v>413</v>
      </c>
      <c r="H1917" s="338" t="s">
        <v>412</v>
      </c>
      <c r="I1917" s="338" t="s">
        <v>411</v>
      </c>
      <c r="J1917" s="339"/>
      <c r="K1917" s="339"/>
      <c r="L1917" s="339" t="s">
        <v>409</v>
      </c>
      <c r="M1917" s="339" t="s">
        <v>409</v>
      </c>
      <c r="N1917" s="338" t="s">
        <v>417</v>
      </c>
      <c r="O1917" s="338" t="s">
        <v>409</v>
      </c>
      <c r="P1917" s="338" t="s">
        <v>417</v>
      </c>
    </row>
    <row r="1918" spans="2:16" x14ac:dyDescent="0.25">
      <c r="B1918" s="336" t="s">
        <v>416</v>
      </c>
      <c r="C1918" s="337">
        <v>40360</v>
      </c>
      <c r="D1918" s="338" t="s">
        <v>5699</v>
      </c>
      <c r="E1918" s="338" t="s">
        <v>5698</v>
      </c>
      <c r="F1918" s="338"/>
      <c r="G1918" s="338" t="s">
        <v>413</v>
      </c>
      <c r="H1918" s="338" t="s">
        <v>425</v>
      </c>
      <c r="I1918" s="338" t="s">
        <v>411</v>
      </c>
      <c r="J1918" s="339"/>
      <c r="K1918" s="339"/>
      <c r="L1918" s="339" t="s">
        <v>409</v>
      </c>
      <c r="M1918" s="339" t="s">
        <v>409</v>
      </c>
      <c r="N1918" s="338" t="s">
        <v>417</v>
      </c>
      <c r="O1918" s="338" t="s">
        <v>409</v>
      </c>
      <c r="P1918" s="338" t="s">
        <v>443</v>
      </c>
    </row>
    <row r="1919" spans="2:16" x14ac:dyDescent="0.25">
      <c r="B1919" s="336" t="s">
        <v>459</v>
      </c>
      <c r="C1919" s="337">
        <v>40359</v>
      </c>
      <c r="D1919" s="338" t="s">
        <v>5697</v>
      </c>
      <c r="E1919" s="338" t="s">
        <v>4627</v>
      </c>
      <c r="F1919" s="338" t="s">
        <v>5696</v>
      </c>
      <c r="G1919" s="338">
        <v>626</v>
      </c>
      <c r="H1919" s="338" t="s">
        <v>425</v>
      </c>
      <c r="I1919" s="338" t="s">
        <v>411</v>
      </c>
      <c r="J1919" s="339"/>
      <c r="K1919" s="339"/>
      <c r="L1919" s="339">
        <v>1.87747</v>
      </c>
      <c r="M1919" s="339">
        <v>5.3407900000000001</v>
      </c>
      <c r="N1919" s="338" t="s">
        <v>487</v>
      </c>
      <c r="O1919" s="338" t="s">
        <v>408</v>
      </c>
      <c r="P1919" s="338" t="s">
        <v>417</v>
      </c>
    </row>
    <row r="1920" spans="2:16" x14ac:dyDescent="0.25">
      <c r="B1920" s="336" t="s">
        <v>416</v>
      </c>
      <c r="C1920" s="337">
        <v>40359</v>
      </c>
      <c r="D1920" s="338" t="s">
        <v>5695</v>
      </c>
      <c r="E1920" s="338" t="s">
        <v>5694</v>
      </c>
      <c r="F1920" s="338" t="s">
        <v>4627</v>
      </c>
      <c r="G1920" s="338" t="s">
        <v>413</v>
      </c>
      <c r="H1920" s="338" t="s">
        <v>412</v>
      </c>
      <c r="I1920" s="338" t="s">
        <v>411</v>
      </c>
      <c r="J1920" s="339"/>
      <c r="K1920" s="339"/>
      <c r="L1920" s="339"/>
      <c r="M1920" s="339"/>
      <c r="N1920" s="338"/>
      <c r="O1920" s="338" t="s">
        <v>417</v>
      </c>
      <c r="P1920" s="338" t="s">
        <v>417</v>
      </c>
    </row>
    <row r="1921" spans="2:16" x14ac:dyDescent="0.25">
      <c r="B1921" s="336" t="s">
        <v>459</v>
      </c>
      <c r="C1921" s="337">
        <v>40359</v>
      </c>
      <c r="D1921" s="338" t="s">
        <v>5693</v>
      </c>
      <c r="E1921" s="338" t="s">
        <v>5692</v>
      </c>
      <c r="F1921" s="338"/>
      <c r="G1921" s="338">
        <v>19.8</v>
      </c>
      <c r="H1921" s="338" t="s">
        <v>425</v>
      </c>
      <c r="I1921" s="338" t="s">
        <v>411</v>
      </c>
      <c r="J1921" s="339"/>
      <c r="K1921" s="339"/>
      <c r="L1921" s="339" t="s">
        <v>409</v>
      </c>
      <c r="M1921" s="339" t="s">
        <v>409</v>
      </c>
      <c r="N1921" s="338" t="s">
        <v>432</v>
      </c>
      <c r="O1921" s="338" t="s">
        <v>409</v>
      </c>
      <c r="P1921" s="338"/>
    </row>
    <row r="1922" spans="2:16" x14ac:dyDescent="0.25">
      <c r="B1922" s="336" t="s">
        <v>416</v>
      </c>
      <c r="C1922" s="337">
        <v>40358</v>
      </c>
      <c r="D1922" s="338" t="s">
        <v>5691</v>
      </c>
      <c r="E1922" s="338" t="s">
        <v>1038</v>
      </c>
      <c r="F1922" s="338"/>
      <c r="G1922" s="338" t="s">
        <v>413</v>
      </c>
      <c r="H1922" s="338" t="s">
        <v>336</v>
      </c>
      <c r="I1922" s="338" t="s">
        <v>411</v>
      </c>
      <c r="J1922" s="339"/>
      <c r="K1922" s="339"/>
      <c r="L1922" s="339" t="s">
        <v>409</v>
      </c>
      <c r="M1922" s="339" t="s">
        <v>409</v>
      </c>
      <c r="N1922" s="338" t="s">
        <v>417</v>
      </c>
      <c r="O1922" s="338" t="s">
        <v>409</v>
      </c>
      <c r="P1922" s="338" t="s">
        <v>417</v>
      </c>
    </row>
    <row r="1923" spans="2:16" x14ac:dyDescent="0.25">
      <c r="B1923" s="336" t="s">
        <v>416</v>
      </c>
      <c r="C1923" s="337">
        <v>40358</v>
      </c>
      <c r="D1923" s="338" t="s">
        <v>5690</v>
      </c>
      <c r="E1923" s="338" t="s">
        <v>5689</v>
      </c>
      <c r="F1923" s="338"/>
      <c r="G1923" s="338" t="s">
        <v>413</v>
      </c>
      <c r="H1923" s="338" t="s">
        <v>412</v>
      </c>
      <c r="I1923" s="338" t="s">
        <v>411</v>
      </c>
      <c r="J1923" s="339"/>
      <c r="K1923" s="339"/>
      <c r="L1923" s="339" t="s">
        <v>409</v>
      </c>
      <c r="M1923" s="339" t="s">
        <v>409</v>
      </c>
      <c r="N1923" s="338" t="s">
        <v>410</v>
      </c>
      <c r="O1923" s="338" t="s">
        <v>409</v>
      </c>
      <c r="P1923" s="338" t="s">
        <v>410</v>
      </c>
    </row>
    <row r="1924" spans="2:16" x14ac:dyDescent="0.25">
      <c r="B1924" s="336" t="s">
        <v>416</v>
      </c>
      <c r="C1924" s="337">
        <v>40354</v>
      </c>
      <c r="D1924" s="338" t="s">
        <v>5688</v>
      </c>
      <c r="E1924" s="338" t="s">
        <v>5687</v>
      </c>
      <c r="F1924" s="338"/>
      <c r="G1924" s="338" t="s">
        <v>413</v>
      </c>
      <c r="H1924" s="338" t="s">
        <v>412</v>
      </c>
      <c r="I1924" s="338" t="s">
        <v>411</v>
      </c>
      <c r="J1924" s="339"/>
      <c r="K1924" s="339"/>
      <c r="L1924" s="339" t="s">
        <v>409</v>
      </c>
      <c r="M1924" s="339" t="s">
        <v>409</v>
      </c>
      <c r="N1924" s="338" t="s">
        <v>410</v>
      </c>
      <c r="O1924" s="338" t="s">
        <v>409</v>
      </c>
      <c r="P1924" s="338" t="s">
        <v>410</v>
      </c>
    </row>
    <row r="1925" spans="2:16" x14ac:dyDescent="0.25">
      <c r="B1925" s="336" t="s">
        <v>416</v>
      </c>
      <c r="C1925" s="337">
        <v>40353</v>
      </c>
      <c r="D1925" s="338" t="s">
        <v>5686</v>
      </c>
      <c r="E1925" s="338" t="s">
        <v>804</v>
      </c>
      <c r="F1925" s="338"/>
      <c r="G1925" s="338" t="s">
        <v>413</v>
      </c>
      <c r="H1925" s="338" t="s">
        <v>425</v>
      </c>
      <c r="I1925" s="338" t="s">
        <v>411</v>
      </c>
      <c r="J1925" s="339"/>
      <c r="K1925" s="339"/>
      <c r="L1925" s="339" t="s">
        <v>409</v>
      </c>
      <c r="M1925" s="339" t="s">
        <v>409</v>
      </c>
      <c r="N1925" s="338" t="s">
        <v>417</v>
      </c>
      <c r="O1925" s="338" t="s">
        <v>409</v>
      </c>
      <c r="P1925" s="338" t="s">
        <v>443</v>
      </c>
    </row>
    <row r="1926" spans="2:16" x14ac:dyDescent="0.25">
      <c r="B1926" s="336" t="s">
        <v>459</v>
      </c>
      <c r="C1926" s="337">
        <v>40352</v>
      </c>
      <c r="D1926" s="338" t="s">
        <v>5685</v>
      </c>
      <c r="E1926" s="338" t="s">
        <v>5684</v>
      </c>
      <c r="F1926" s="338"/>
      <c r="G1926" s="338">
        <v>8</v>
      </c>
      <c r="H1926" s="338" t="s">
        <v>425</v>
      </c>
      <c r="I1926" s="338" t="s">
        <v>411</v>
      </c>
      <c r="J1926" s="339"/>
      <c r="K1926" s="339"/>
      <c r="L1926" s="339" t="s">
        <v>409</v>
      </c>
      <c r="M1926" s="339" t="s">
        <v>409</v>
      </c>
      <c r="N1926" s="338" t="s">
        <v>605</v>
      </c>
      <c r="O1926" s="338" t="s">
        <v>409</v>
      </c>
      <c r="P1926" s="338"/>
    </row>
    <row r="1927" spans="2:16" x14ac:dyDescent="0.25">
      <c r="B1927" s="336" t="s">
        <v>416</v>
      </c>
      <c r="C1927" s="337">
        <v>40352</v>
      </c>
      <c r="D1927" s="338" t="s">
        <v>5683</v>
      </c>
      <c r="E1927" s="338" t="s">
        <v>3228</v>
      </c>
      <c r="F1927" s="338" t="s">
        <v>5682</v>
      </c>
      <c r="G1927" s="338" t="s">
        <v>413</v>
      </c>
      <c r="H1927" s="338" t="s">
        <v>425</v>
      </c>
      <c r="I1927" s="338" t="s">
        <v>411</v>
      </c>
      <c r="J1927" s="339"/>
      <c r="K1927" s="339"/>
      <c r="L1927" s="339"/>
      <c r="M1927" s="339"/>
      <c r="N1927" s="338"/>
      <c r="O1927" s="338"/>
      <c r="P1927" s="338" t="s">
        <v>417</v>
      </c>
    </row>
    <row r="1928" spans="2:16" x14ac:dyDescent="0.25">
      <c r="B1928" s="336" t="s">
        <v>416</v>
      </c>
      <c r="C1928" s="337">
        <v>40351</v>
      </c>
      <c r="D1928" s="338" t="s">
        <v>5681</v>
      </c>
      <c r="E1928" s="338" t="s">
        <v>5680</v>
      </c>
      <c r="F1928" s="338"/>
      <c r="G1928" s="338" t="s">
        <v>413</v>
      </c>
      <c r="H1928" s="338" t="s">
        <v>412</v>
      </c>
      <c r="I1928" s="338" t="s">
        <v>411</v>
      </c>
      <c r="J1928" s="339"/>
      <c r="K1928" s="339"/>
      <c r="L1928" s="339" t="s">
        <v>409</v>
      </c>
      <c r="M1928" s="339" t="s">
        <v>409</v>
      </c>
      <c r="N1928" s="338" t="s">
        <v>417</v>
      </c>
      <c r="O1928" s="338" t="s">
        <v>409</v>
      </c>
      <c r="P1928" s="338" t="s">
        <v>432</v>
      </c>
    </row>
    <row r="1929" spans="2:16" x14ac:dyDescent="0.25">
      <c r="B1929" s="336" t="s">
        <v>416</v>
      </c>
      <c r="C1929" s="337">
        <v>40348</v>
      </c>
      <c r="D1929" s="338" t="s">
        <v>956</v>
      </c>
      <c r="E1929" s="338" t="s">
        <v>5679</v>
      </c>
      <c r="F1929" s="338" t="s">
        <v>5678</v>
      </c>
      <c r="G1929" s="338">
        <v>0.55000000000000004</v>
      </c>
      <c r="H1929" s="338" t="s">
        <v>425</v>
      </c>
      <c r="I1929" s="338" t="s">
        <v>411</v>
      </c>
      <c r="J1929" s="339"/>
      <c r="K1929" s="339"/>
      <c r="L1929" s="339"/>
      <c r="M1929" s="339"/>
      <c r="N1929" s="338"/>
      <c r="O1929" s="338" t="s">
        <v>417</v>
      </c>
      <c r="P1929" s="338" t="s">
        <v>487</v>
      </c>
    </row>
    <row r="1930" spans="2:16" x14ac:dyDescent="0.25">
      <c r="B1930" s="336" t="s">
        <v>416</v>
      </c>
      <c r="C1930" s="337">
        <v>40347</v>
      </c>
      <c r="D1930" s="338" t="s">
        <v>945</v>
      </c>
      <c r="E1930" s="338" t="s">
        <v>5677</v>
      </c>
      <c r="F1930" s="338" t="s">
        <v>5676</v>
      </c>
      <c r="G1930" s="338">
        <v>63.5</v>
      </c>
      <c r="H1930" s="338" t="s">
        <v>425</v>
      </c>
      <c r="I1930" s="338" t="s">
        <v>411</v>
      </c>
      <c r="J1930" s="339"/>
      <c r="K1930" s="339"/>
      <c r="L1930" s="339"/>
      <c r="M1930" s="339"/>
      <c r="N1930" s="338"/>
      <c r="O1930" s="338"/>
      <c r="P1930" s="338" t="s">
        <v>417</v>
      </c>
    </row>
    <row r="1931" spans="2:16" x14ac:dyDescent="0.25">
      <c r="B1931" s="336" t="s">
        <v>1441</v>
      </c>
      <c r="C1931" s="337">
        <v>40347</v>
      </c>
      <c r="D1931" s="338" t="s">
        <v>5675</v>
      </c>
      <c r="E1931" s="338" t="s">
        <v>5674</v>
      </c>
      <c r="F1931" s="338"/>
      <c r="G1931" s="338" t="s">
        <v>413</v>
      </c>
      <c r="H1931" s="338" t="s">
        <v>412</v>
      </c>
      <c r="I1931" s="338" t="s">
        <v>411</v>
      </c>
      <c r="J1931" s="339"/>
      <c r="K1931" s="339"/>
      <c r="L1931" s="339" t="s">
        <v>409</v>
      </c>
      <c r="M1931" s="339" t="s">
        <v>409</v>
      </c>
      <c r="N1931" s="338"/>
      <c r="O1931" s="338" t="s">
        <v>409</v>
      </c>
      <c r="P1931" s="338" t="s">
        <v>605</v>
      </c>
    </row>
    <row r="1932" spans="2:16" x14ac:dyDescent="0.25">
      <c r="B1932" s="336" t="s">
        <v>459</v>
      </c>
      <c r="C1932" s="337">
        <v>40347</v>
      </c>
      <c r="D1932" s="338" t="s">
        <v>1543</v>
      </c>
      <c r="E1932" s="338" t="s">
        <v>5673</v>
      </c>
      <c r="F1932" s="338"/>
      <c r="G1932" s="338">
        <v>2</v>
      </c>
      <c r="H1932" s="338" t="s">
        <v>425</v>
      </c>
      <c r="I1932" s="338" t="s">
        <v>411</v>
      </c>
      <c r="J1932" s="339"/>
      <c r="K1932" s="339"/>
      <c r="L1932" s="339" t="s">
        <v>409</v>
      </c>
      <c r="M1932" s="339" t="s">
        <v>409</v>
      </c>
      <c r="N1932" s="338" t="s">
        <v>417</v>
      </c>
      <c r="O1932" s="338" t="s">
        <v>409</v>
      </c>
      <c r="P1932" s="338" t="s">
        <v>443</v>
      </c>
    </row>
    <row r="1933" spans="2:16" x14ac:dyDescent="0.25">
      <c r="B1933" s="336" t="s">
        <v>416</v>
      </c>
      <c r="C1933" s="337">
        <v>40347</v>
      </c>
      <c r="D1933" s="338" t="s">
        <v>5672</v>
      </c>
      <c r="E1933" s="338" t="s">
        <v>5671</v>
      </c>
      <c r="F1933" s="338" t="s">
        <v>477</v>
      </c>
      <c r="G1933" s="338">
        <v>26.2</v>
      </c>
      <c r="H1933" s="338" t="s">
        <v>425</v>
      </c>
      <c r="I1933" s="338" t="s">
        <v>411</v>
      </c>
      <c r="J1933" s="339"/>
      <c r="K1933" s="339"/>
      <c r="L1933" s="339">
        <v>0.60279799999999994</v>
      </c>
      <c r="M1933" s="339">
        <v>11.0146</v>
      </c>
      <c r="N1933" s="338"/>
      <c r="O1933" s="338" t="s">
        <v>417</v>
      </c>
      <c r="P1933" s="338" t="s">
        <v>487</v>
      </c>
    </row>
    <row r="1934" spans="2:16" x14ac:dyDescent="0.25">
      <c r="B1934" s="336" t="s">
        <v>416</v>
      </c>
      <c r="C1934" s="337">
        <v>40346</v>
      </c>
      <c r="D1934" s="338" t="s">
        <v>5670</v>
      </c>
      <c r="E1934" s="338" t="s">
        <v>516</v>
      </c>
      <c r="F1934" s="338" t="s">
        <v>1712</v>
      </c>
      <c r="G1934" s="338">
        <v>43</v>
      </c>
      <c r="H1934" s="338" t="s">
        <v>425</v>
      </c>
      <c r="I1934" s="338" t="s">
        <v>411</v>
      </c>
      <c r="J1934" s="339"/>
      <c r="K1934" s="339"/>
      <c r="L1934" s="339">
        <v>0.69886999999999999</v>
      </c>
      <c r="M1934" s="339"/>
      <c r="N1934" s="338" t="s">
        <v>417</v>
      </c>
      <c r="O1934" s="338" t="s">
        <v>417</v>
      </c>
      <c r="P1934" s="338" t="s">
        <v>417</v>
      </c>
    </row>
    <row r="1935" spans="2:16" x14ac:dyDescent="0.25">
      <c r="B1935" s="336" t="s">
        <v>416</v>
      </c>
      <c r="C1935" s="337">
        <v>40346</v>
      </c>
      <c r="D1935" s="338" t="s">
        <v>3500</v>
      </c>
      <c r="E1935" s="338" t="s">
        <v>468</v>
      </c>
      <c r="F1935" s="338" t="s">
        <v>546</v>
      </c>
      <c r="G1935" s="338">
        <v>32</v>
      </c>
      <c r="H1935" s="338" t="s">
        <v>425</v>
      </c>
      <c r="I1935" s="338" t="s">
        <v>411</v>
      </c>
      <c r="J1935" s="339"/>
      <c r="K1935" s="339"/>
      <c r="L1935" s="339">
        <v>1.7353000000000001</v>
      </c>
      <c r="M1935" s="339">
        <v>8.6933699999999998</v>
      </c>
      <c r="N1935" s="338" t="s">
        <v>417</v>
      </c>
      <c r="O1935" s="338" t="s">
        <v>417</v>
      </c>
      <c r="P1935" s="338" t="s">
        <v>443</v>
      </c>
    </row>
    <row r="1936" spans="2:16" x14ac:dyDescent="0.25">
      <c r="B1936" s="336" t="s">
        <v>416</v>
      </c>
      <c r="C1936" s="337">
        <v>40345</v>
      </c>
      <c r="D1936" s="338" t="s">
        <v>910</v>
      </c>
      <c r="E1936" s="338" t="s">
        <v>5669</v>
      </c>
      <c r="F1936" s="338"/>
      <c r="G1936" s="338" t="s">
        <v>413</v>
      </c>
      <c r="H1936" s="338" t="s">
        <v>412</v>
      </c>
      <c r="I1936" s="338" t="s">
        <v>411</v>
      </c>
      <c r="J1936" s="339"/>
      <c r="K1936" s="339"/>
      <c r="L1936" s="339" t="s">
        <v>409</v>
      </c>
      <c r="M1936" s="339" t="s">
        <v>409</v>
      </c>
      <c r="N1936" s="338" t="s">
        <v>417</v>
      </c>
      <c r="O1936" s="338" t="s">
        <v>409</v>
      </c>
      <c r="P1936" s="338" t="s">
        <v>443</v>
      </c>
    </row>
    <row r="1937" spans="2:16" x14ac:dyDescent="0.25">
      <c r="B1937" s="336" t="s">
        <v>416</v>
      </c>
      <c r="C1937" s="337">
        <v>40344</v>
      </c>
      <c r="D1937" s="338" t="s">
        <v>5668</v>
      </c>
      <c r="E1937" s="338" t="s">
        <v>1621</v>
      </c>
      <c r="F1937" s="338"/>
      <c r="G1937" s="338" t="s">
        <v>413</v>
      </c>
      <c r="H1937" s="338" t="s">
        <v>412</v>
      </c>
      <c r="I1937" s="338" t="s">
        <v>411</v>
      </c>
      <c r="J1937" s="339"/>
      <c r="K1937" s="339"/>
      <c r="L1937" s="339" t="s">
        <v>409</v>
      </c>
      <c r="M1937" s="339" t="s">
        <v>409</v>
      </c>
      <c r="N1937" s="338" t="s">
        <v>432</v>
      </c>
      <c r="O1937" s="338" t="s">
        <v>409</v>
      </c>
      <c r="P1937" s="338" t="s">
        <v>417</v>
      </c>
    </row>
    <row r="1938" spans="2:16" x14ac:dyDescent="0.25">
      <c r="B1938" s="336" t="s">
        <v>416</v>
      </c>
      <c r="C1938" s="337">
        <v>40343</v>
      </c>
      <c r="D1938" s="338" t="s">
        <v>5667</v>
      </c>
      <c r="E1938" s="338" t="s">
        <v>1026</v>
      </c>
      <c r="F1938" s="338"/>
      <c r="G1938" s="338">
        <v>124</v>
      </c>
      <c r="H1938" s="338" t="s">
        <v>425</v>
      </c>
      <c r="I1938" s="338" t="s">
        <v>411</v>
      </c>
      <c r="J1938" s="339"/>
      <c r="K1938" s="339"/>
      <c r="L1938" s="339" t="s">
        <v>409</v>
      </c>
      <c r="M1938" s="339" t="s">
        <v>409</v>
      </c>
      <c r="N1938" s="338"/>
      <c r="O1938" s="338" t="s">
        <v>409</v>
      </c>
      <c r="P1938" s="338" t="s">
        <v>443</v>
      </c>
    </row>
    <row r="1939" spans="2:16" x14ac:dyDescent="0.25">
      <c r="B1939" s="336" t="s">
        <v>416</v>
      </c>
      <c r="C1939" s="337">
        <v>40339</v>
      </c>
      <c r="D1939" s="338" t="s">
        <v>5666</v>
      </c>
      <c r="E1939" s="338" t="s">
        <v>5664</v>
      </c>
      <c r="F1939" s="338"/>
      <c r="G1939" s="338" t="s">
        <v>413</v>
      </c>
      <c r="H1939" s="338" t="s">
        <v>425</v>
      </c>
      <c r="I1939" s="338" t="s">
        <v>411</v>
      </c>
      <c r="J1939" s="339"/>
      <c r="K1939" s="339"/>
      <c r="L1939" s="339" t="s">
        <v>409</v>
      </c>
      <c r="M1939" s="339" t="s">
        <v>409</v>
      </c>
      <c r="N1939" s="338"/>
      <c r="O1939" s="338" t="s">
        <v>409</v>
      </c>
      <c r="P1939" s="338" t="s">
        <v>417</v>
      </c>
    </row>
    <row r="1940" spans="2:16" x14ac:dyDescent="0.25">
      <c r="B1940" s="336" t="s">
        <v>416</v>
      </c>
      <c r="C1940" s="337">
        <v>40339</v>
      </c>
      <c r="D1940" s="338" t="s">
        <v>5665</v>
      </c>
      <c r="E1940" s="338" t="s">
        <v>5664</v>
      </c>
      <c r="F1940" s="338"/>
      <c r="G1940" s="338" t="s">
        <v>413</v>
      </c>
      <c r="H1940" s="338" t="s">
        <v>412</v>
      </c>
      <c r="I1940" s="338" t="s">
        <v>411</v>
      </c>
      <c r="J1940" s="339"/>
      <c r="K1940" s="339"/>
      <c r="L1940" s="339" t="s">
        <v>409</v>
      </c>
      <c r="M1940" s="339" t="s">
        <v>409</v>
      </c>
      <c r="N1940" s="338" t="s">
        <v>417</v>
      </c>
      <c r="O1940" s="338" t="s">
        <v>409</v>
      </c>
      <c r="P1940" s="338" t="s">
        <v>417</v>
      </c>
    </row>
    <row r="1941" spans="2:16" x14ac:dyDescent="0.25">
      <c r="B1941" s="336" t="s">
        <v>416</v>
      </c>
      <c r="C1941" s="337">
        <v>40339</v>
      </c>
      <c r="D1941" s="338" t="s">
        <v>5663</v>
      </c>
      <c r="E1941" s="338" t="s">
        <v>5662</v>
      </c>
      <c r="F1941" s="338" t="s">
        <v>1812</v>
      </c>
      <c r="G1941" s="338" t="s">
        <v>413</v>
      </c>
      <c r="H1941" s="338" t="s">
        <v>425</v>
      </c>
      <c r="I1941" s="338" t="s">
        <v>411</v>
      </c>
      <c r="J1941" s="339"/>
      <c r="K1941" s="339"/>
      <c r="L1941" s="339">
        <v>0.162331</v>
      </c>
      <c r="M1941" s="339">
        <v>3.4231199999999999</v>
      </c>
      <c r="N1941" s="338"/>
      <c r="O1941" s="338" t="s">
        <v>417</v>
      </c>
      <c r="P1941" s="338"/>
    </row>
    <row r="1942" spans="2:16" x14ac:dyDescent="0.25">
      <c r="B1942" s="336" t="s">
        <v>459</v>
      </c>
      <c r="C1942" s="337">
        <v>40338</v>
      </c>
      <c r="D1942" s="338" t="s">
        <v>5661</v>
      </c>
      <c r="E1942" s="338" t="s">
        <v>5660</v>
      </c>
      <c r="F1942" s="338"/>
      <c r="G1942" s="338" t="s">
        <v>413</v>
      </c>
      <c r="H1942" s="338" t="s">
        <v>412</v>
      </c>
      <c r="I1942" s="338" t="s">
        <v>411</v>
      </c>
      <c r="J1942" s="339"/>
      <c r="K1942" s="339"/>
      <c r="L1942" s="339" t="s">
        <v>409</v>
      </c>
      <c r="M1942" s="339" t="s">
        <v>409</v>
      </c>
      <c r="N1942" s="338" t="s">
        <v>417</v>
      </c>
      <c r="O1942" s="338" t="s">
        <v>409</v>
      </c>
      <c r="P1942" s="338"/>
    </row>
    <row r="1943" spans="2:16" x14ac:dyDescent="0.25">
      <c r="B1943" s="336" t="s">
        <v>416</v>
      </c>
      <c r="C1943" s="337">
        <v>40338</v>
      </c>
      <c r="D1943" s="338" t="s">
        <v>945</v>
      </c>
      <c r="E1943" s="338" t="s">
        <v>1036</v>
      </c>
      <c r="F1943" s="338" t="s">
        <v>5659</v>
      </c>
      <c r="G1943" s="338">
        <v>7.8</v>
      </c>
      <c r="H1943" s="338" t="s">
        <v>425</v>
      </c>
      <c r="I1943" s="338" t="s">
        <v>411</v>
      </c>
      <c r="J1943" s="339"/>
      <c r="K1943" s="339"/>
      <c r="L1943" s="339"/>
      <c r="M1943" s="339"/>
      <c r="N1943" s="338"/>
      <c r="O1943" s="338" t="s">
        <v>605</v>
      </c>
      <c r="P1943" s="338" t="s">
        <v>417</v>
      </c>
    </row>
    <row r="1944" spans="2:16" x14ac:dyDescent="0.25">
      <c r="B1944" s="336" t="s">
        <v>416</v>
      </c>
      <c r="C1944" s="337">
        <v>40337</v>
      </c>
      <c r="D1944" s="338" t="s">
        <v>5658</v>
      </c>
      <c r="E1944" s="338" t="s">
        <v>3228</v>
      </c>
      <c r="F1944" s="338" t="s">
        <v>5657</v>
      </c>
      <c r="G1944" s="338" t="s">
        <v>413</v>
      </c>
      <c r="H1944" s="338" t="s">
        <v>425</v>
      </c>
      <c r="I1944" s="338" t="s">
        <v>411</v>
      </c>
      <c r="J1944" s="339"/>
      <c r="K1944" s="339"/>
      <c r="L1944" s="339"/>
      <c r="M1944" s="339"/>
      <c r="N1944" s="338"/>
      <c r="O1944" s="338" t="s">
        <v>443</v>
      </c>
      <c r="P1944" s="338" t="s">
        <v>417</v>
      </c>
    </row>
    <row r="1945" spans="2:16" x14ac:dyDescent="0.25">
      <c r="B1945" s="336" t="s">
        <v>416</v>
      </c>
      <c r="C1945" s="337">
        <v>40336</v>
      </c>
      <c r="D1945" s="338" t="s">
        <v>3563</v>
      </c>
      <c r="E1945" s="338" t="s">
        <v>1028</v>
      </c>
      <c r="F1945" s="338"/>
      <c r="G1945" s="338">
        <v>39.6</v>
      </c>
      <c r="H1945" s="338" t="s">
        <v>429</v>
      </c>
      <c r="I1945" s="338" t="s">
        <v>411</v>
      </c>
      <c r="J1945" s="339"/>
      <c r="K1945" s="339"/>
      <c r="L1945" s="339" t="s">
        <v>409</v>
      </c>
      <c r="M1945" s="339" t="s">
        <v>409</v>
      </c>
      <c r="N1945" s="338" t="s">
        <v>417</v>
      </c>
      <c r="O1945" s="338" t="s">
        <v>409</v>
      </c>
      <c r="P1945" s="338" t="s">
        <v>417</v>
      </c>
    </row>
    <row r="1946" spans="2:16" x14ac:dyDescent="0.25">
      <c r="B1946" s="336" t="s">
        <v>416</v>
      </c>
      <c r="C1946" s="337">
        <v>40333</v>
      </c>
      <c r="D1946" s="338" t="s">
        <v>5656</v>
      </c>
      <c r="E1946" s="338" t="s">
        <v>5655</v>
      </c>
      <c r="F1946" s="338"/>
      <c r="G1946" s="338" t="s">
        <v>413</v>
      </c>
      <c r="H1946" s="338" t="s">
        <v>425</v>
      </c>
      <c r="I1946" s="338" t="s">
        <v>411</v>
      </c>
      <c r="J1946" s="339"/>
      <c r="K1946" s="339"/>
      <c r="L1946" s="339" t="s">
        <v>409</v>
      </c>
      <c r="M1946" s="339" t="s">
        <v>409</v>
      </c>
      <c r="N1946" s="338"/>
      <c r="O1946" s="338" t="s">
        <v>409</v>
      </c>
      <c r="P1946" s="338" t="s">
        <v>417</v>
      </c>
    </row>
    <row r="1947" spans="2:16" x14ac:dyDescent="0.25">
      <c r="B1947" s="336" t="s">
        <v>459</v>
      </c>
      <c r="C1947" s="337">
        <v>40332</v>
      </c>
      <c r="D1947" s="338" t="s">
        <v>5654</v>
      </c>
      <c r="E1947" s="338" t="s">
        <v>5653</v>
      </c>
      <c r="F1947" s="338"/>
      <c r="G1947" s="338">
        <v>31</v>
      </c>
      <c r="H1947" s="338" t="s">
        <v>425</v>
      </c>
      <c r="I1947" s="338" t="s">
        <v>411</v>
      </c>
      <c r="J1947" s="339"/>
      <c r="K1947" s="339"/>
      <c r="L1947" s="339" t="s">
        <v>409</v>
      </c>
      <c r="M1947" s="339" t="s">
        <v>409</v>
      </c>
      <c r="N1947" s="338" t="s">
        <v>417</v>
      </c>
      <c r="O1947" s="338" t="s">
        <v>409</v>
      </c>
      <c r="P1947" s="338" t="s">
        <v>443</v>
      </c>
    </row>
    <row r="1948" spans="2:16" x14ac:dyDescent="0.25">
      <c r="B1948" s="336" t="s">
        <v>416</v>
      </c>
      <c r="C1948" s="337">
        <v>40331</v>
      </c>
      <c r="D1948" s="338" t="s">
        <v>5652</v>
      </c>
      <c r="E1948" s="338" t="s">
        <v>468</v>
      </c>
      <c r="F1948" s="338"/>
      <c r="G1948" s="338" t="s">
        <v>413</v>
      </c>
      <c r="H1948" s="338" t="s">
        <v>425</v>
      </c>
      <c r="I1948" s="338" t="s">
        <v>411</v>
      </c>
      <c r="J1948" s="339"/>
      <c r="K1948" s="339"/>
      <c r="L1948" s="339" t="s">
        <v>409</v>
      </c>
      <c r="M1948" s="339" t="s">
        <v>409</v>
      </c>
      <c r="N1948" s="338" t="s">
        <v>417</v>
      </c>
      <c r="O1948" s="338" t="s">
        <v>409</v>
      </c>
      <c r="P1948" s="338" t="s">
        <v>443</v>
      </c>
    </row>
    <row r="1949" spans="2:16" x14ac:dyDescent="0.25">
      <c r="B1949" s="336" t="s">
        <v>416</v>
      </c>
      <c r="C1949" s="337">
        <v>40331</v>
      </c>
      <c r="D1949" s="338" t="s">
        <v>5651</v>
      </c>
      <c r="E1949" s="338" t="s">
        <v>3891</v>
      </c>
      <c r="F1949" s="338"/>
      <c r="G1949" s="338" t="s">
        <v>413</v>
      </c>
      <c r="H1949" s="338" t="s">
        <v>412</v>
      </c>
      <c r="I1949" s="338" t="s">
        <v>411</v>
      </c>
      <c r="J1949" s="339"/>
      <c r="K1949" s="339"/>
      <c r="L1949" s="339" t="s">
        <v>409</v>
      </c>
      <c r="M1949" s="339" t="s">
        <v>409</v>
      </c>
      <c r="N1949" s="338" t="s">
        <v>417</v>
      </c>
      <c r="O1949" s="338" t="s">
        <v>409</v>
      </c>
      <c r="P1949" s="338"/>
    </row>
    <row r="1950" spans="2:16" x14ac:dyDescent="0.25">
      <c r="B1950" s="336" t="s">
        <v>416</v>
      </c>
      <c r="C1950" s="337">
        <v>40331</v>
      </c>
      <c r="D1950" s="338" t="s">
        <v>5650</v>
      </c>
      <c r="E1950" s="338" t="s">
        <v>5649</v>
      </c>
      <c r="F1950" s="338" t="s">
        <v>5648</v>
      </c>
      <c r="G1950" s="338" t="s">
        <v>413</v>
      </c>
      <c r="H1950" s="338" t="s">
        <v>425</v>
      </c>
      <c r="I1950" s="338" t="s">
        <v>411</v>
      </c>
      <c r="J1950" s="339"/>
      <c r="K1950" s="339"/>
      <c r="L1950" s="339"/>
      <c r="M1950" s="339"/>
      <c r="N1950" s="338"/>
      <c r="O1950" s="338" t="s">
        <v>443</v>
      </c>
      <c r="P1950" s="338"/>
    </row>
    <row r="1951" spans="2:16" x14ac:dyDescent="0.25">
      <c r="B1951" s="336" t="s">
        <v>416</v>
      </c>
      <c r="C1951" s="337">
        <v>40331</v>
      </c>
      <c r="D1951" s="338" t="s">
        <v>5647</v>
      </c>
      <c r="E1951" s="338" t="s">
        <v>485</v>
      </c>
      <c r="F1951" s="338" t="s">
        <v>5646</v>
      </c>
      <c r="G1951" s="338">
        <v>2</v>
      </c>
      <c r="H1951" s="338" t="s">
        <v>425</v>
      </c>
      <c r="I1951" s="338" t="s">
        <v>411</v>
      </c>
      <c r="J1951" s="339"/>
      <c r="K1951" s="339"/>
      <c r="L1951" s="339"/>
      <c r="M1951" s="339"/>
      <c r="N1951" s="338"/>
      <c r="O1951" s="338" t="s">
        <v>410</v>
      </c>
      <c r="P1951" s="338" t="s">
        <v>417</v>
      </c>
    </row>
    <row r="1952" spans="2:16" x14ac:dyDescent="0.25">
      <c r="B1952" s="336" t="s">
        <v>416</v>
      </c>
      <c r="C1952" s="337">
        <v>40331</v>
      </c>
      <c r="D1952" s="338" t="s">
        <v>5645</v>
      </c>
      <c r="E1952" s="338" t="s">
        <v>2110</v>
      </c>
      <c r="F1952" s="338" t="s">
        <v>5058</v>
      </c>
      <c r="G1952" s="338">
        <v>40</v>
      </c>
      <c r="H1952" s="338" t="s">
        <v>425</v>
      </c>
      <c r="I1952" s="338" t="s">
        <v>411</v>
      </c>
      <c r="J1952" s="339"/>
      <c r="K1952" s="339"/>
      <c r="L1952" s="339"/>
      <c r="M1952" s="339"/>
      <c r="N1952" s="338"/>
      <c r="O1952" s="338" t="s">
        <v>417</v>
      </c>
      <c r="P1952" s="338" t="s">
        <v>408</v>
      </c>
    </row>
    <row r="1953" spans="2:16" x14ac:dyDescent="0.25">
      <c r="B1953" s="336" t="s">
        <v>416</v>
      </c>
      <c r="C1953" s="337">
        <v>40330</v>
      </c>
      <c r="D1953" s="338" t="s">
        <v>5644</v>
      </c>
      <c r="E1953" s="338" t="s">
        <v>1217</v>
      </c>
      <c r="F1953" s="338"/>
      <c r="G1953" s="338" t="s">
        <v>413</v>
      </c>
      <c r="H1953" s="338" t="s">
        <v>412</v>
      </c>
      <c r="I1953" s="338" t="s">
        <v>411</v>
      </c>
      <c r="J1953" s="339"/>
      <c r="K1953" s="339"/>
      <c r="L1953" s="339" t="s">
        <v>409</v>
      </c>
      <c r="M1953" s="339" t="s">
        <v>409</v>
      </c>
      <c r="N1953" s="338" t="s">
        <v>417</v>
      </c>
      <c r="O1953" s="338" t="s">
        <v>409</v>
      </c>
      <c r="P1953" s="338" t="s">
        <v>410</v>
      </c>
    </row>
    <row r="1954" spans="2:16" x14ac:dyDescent="0.25">
      <c r="B1954" s="336" t="s">
        <v>416</v>
      </c>
      <c r="C1954" s="337">
        <v>40330</v>
      </c>
      <c r="D1954" s="338" t="s">
        <v>5643</v>
      </c>
      <c r="E1954" s="338" t="s">
        <v>5642</v>
      </c>
      <c r="F1954" s="338"/>
      <c r="G1954" s="338">
        <v>1</v>
      </c>
      <c r="H1954" s="338" t="s">
        <v>425</v>
      </c>
      <c r="I1954" s="338" t="s">
        <v>411</v>
      </c>
      <c r="J1954" s="339"/>
      <c r="K1954" s="339"/>
      <c r="L1954" s="339" t="s">
        <v>409</v>
      </c>
      <c r="M1954" s="339" t="s">
        <v>409</v>
      </c>
      <c r="N1954" s="338" t="s">
        <v>417</v>
      </c>
      <c r="O1954" s="338" t="s">
        <v>409</v>
      </c>
      <c r="P1954" s="338" t="s">
        <v>605</v>
      </c>
    </row>
    <row r="1955" spans="2:16" x14ac:dyDescent="0.25">
      <c r="B1955" s="336" t="s">
        <v>459</v>
      </c>
      <c r="C1955" s="337">
        <v>40330</v>
      </c>
      <c r="D1955" s="338" t="s">
        <v>5641</v>
      </c>
      <c r="E1955" s="338" t="s">
        <v>5640</v>
      </c>
      <c r="F1955" s="338"/>
      <c r="G1955" s="338">
        <v>7</v>
      </c>
      <c r="H1955" s="338" t="s">
        <v>425</v>
      </c>
      <c r="I1955" s="338" t="s">
        <v>411</v>
      </c>
      <c r="J1955" s="339"/>
      <c r="K1955" s="339"/>
      <c r="L1955" s="339" t="s">
        <v>409</v>
      </c>
      <c r="M1955" s="339" t="s">
        <v>409</v>
      </c>
      <c r="N1955" s="338" t="s">
        <v>605</v>
      </c>
      <c r="O1955" s="338" t="s">
        <v>409</v>
      </c>
      <c r="P1955" s="338" t="s">
        <v>443</v>
      </c>
    </row>
    <row r="1956" spans="2:16" x14ac:dyDescent="0.25">
      <c r="B1956" s="336" t="s">
        <v>416</v>
      </c>
      <c r="C1956" s="337">
        <v>40329</v>
      </c>
      <c r="D1956" s="338" t="s">
        <v>5639</v>
      </c>
      <c r="E1956" s="338" t="s">
        <v>4571</v>
      </c>
      <c r="F1956" s="338"/>
      <c r="G1956" s="338" t="s">
        <v>413</v>
      </c>
      <c r="H1956" s="338" t="s">
        <v>412</v>
      </c>
      <c r="I1956" s="338" t="s">
        <v>411</v>
      </c>
      <c r="J1956" s="339"/>
      <c r="K1956" s="339"/>
      <c r="L1956" s="339" t="s">
        <v>409</v>
      </c>
      <c r="M1956" s="339" t="s">
        <v>409</v>
      </c>
      <c r="N1956" s="338" t="s">
        <v>417</v>
      </c>
      <c r="O1956" s="338" t="s">
        <v>409</v>
      </c>
      <c r="P1956" s="338" t="s">
        <v>432</v>
      </c>
    </row>
    <row r="1957" spans="2:16" x14ac:dyDescent="0.25">
      <c r="B1957" s="336" t="s">
        <v>416</v>
      </c>
      <c r="C1957" s="337">
        <v>40326</v>
      </c>
      <c r="D1957" s="338" t="s">
        <v>956</v>
      </c>
      <c r="E1957" s="338" t="s">
        <v>5638</v>
      </c>
      <c r="F1957" s="338" t="s">
        <v>5637</v>
      </c>
      <c r="G1957" s="338" t="s">
        <v>413</v>
      </c>
      <c r="H1957" s="338" t="s">
        <v>425</v>
      </c>
      <c r="I1957" s="338" t="s">
        <v>411</v>
      </c>
      <c r="J1957" s="339"/>
      <c r="K1957" s="339"/>
      <c r="L1957" s="339"/>
      <c r="M1957" s="339"/>
      <c r="N1957" s="338"/>
      <c r="O1957" s="338" t="s">
        <v>417</v>
      </c>
      <c r="P1957" s="338" t="s">
        <v>417</v>
      </c>
    </row>
    <row r="1958" spans="2:16" x14ac:dyDescent="0.25">
      <c r="B1958" s="336" t="s">
        <v>416</v>
      </c>
      <c r="C1958" s="337">
        <v>40326</v>
      </c>
      <c r="D1958" s="338" t="s">
        <v>5636</v>
      </c>
      <c r="E1958" s="338" t="s">
        <v>761</v>
      </c>
      <c r="F1958" s="338"/>
      <c r="G1958" s="338" t="s">
        <v>413</v>
      </c>
      <c r="H1958" s="338" t="s">
        <v>412</v>
      </c>
      <c r="I1958" s="338" t="s">
        <v>411</v>
      </c>
      <c r="J1958" s="339"/>
      <c r="K1958" s="339"/>
      <c r="L1958" s="339" t="s">
        <v>409</v>
      </c>
      <c r="M1958" s="339" t="s">
        <v>409</v>
      </c>
      <c r="N1958" s="338" t="s">
        <v>410</v>
      </c>
      <c r="O1958" s="338" t="s">
        <v>409</v>
      </c>
      <c r="P1958" s="338" t="s">
        <v>417</v>
      </c>
    </row>
    <row r="1959" spans="2:16" x14ac:dyDescent="0.25">
      <c r="B1959" s="336" t="s">
        <v>416</v>
      </c>
      <c r="C1959" s="337">
        <v>40326</v>
      </c>
      <c r="D1959" s="338" t="s">
        <v>956</v>
      </c>
      <c r="E1959" s="338" t="s">
        <v>5635</v>
      </c>
      <c r="F1959" s="338" t="s">
        <v>5634</v>
      </c>
      <c r="G1959" s="338" t="s">
        <v>413</v>
      </c>
      <c r="H1959" s="338" t="s">
        <v>425</v>
      </c>
      <c r="I1959" s="338" t="s">
        <v>411</v>
      </c>
      <c r="J1959" s="339"/>
      <c r="K1959" s="339"/>
      <c r="L1959" s="339"/>
      <c r="M1959" s="339"/>
      <c r="N1959" s="338"/>
      <c r="O1959" s="338" t="s">
        <v>417</v>
      </c>
      <c r="P1959" s="338" t="s">
        <v>443</v>
      </c>
    </row>
    <row r="1960" spans="2:16" x14ac:dyDescent="0.25">
      <c r="B1960" s="336" t="s">
        <v>416</v>
      </c>
      <c r="C1960" s="337">
        <v>40325</v>
      </c>
      <c r="D1960" s="338" t="s">
        <v>5633</v>
      </c>
      <c r="E1960" s="338" t="s">
        <v>5632</v>
      </c>
      <c r="F1960" s="338" t="s">
        <v>889</v>
      </c>
      <c r="G1960" s="338" t="s">
        <v>413</v>
      </c>
      <c r="H1960" s="338" t="s">
        <v>425</v>
      </c>
      <c r="I1960" s="338" t="s">
        <v>411</v>
      </c>
      <c r="J1960" s="339"/>
      <c r="K1960" s="339"/>
      <c r="L1960" s="339">
        <v>2.9470299999999998</v>
      </c>
      <c r="M1960" s="339">
        <v>13.790100000000001</v>
      </c>
      <c r="N1960" s="338"/>
      <c r="O1960" s="338" t="s">
        <v>410</v>
      </c>
      <c r="P1960" s="338" t="s">
        <v>417</v>
      </c>
    </row>
    <row r="1961" spans="2:16" x14ac:dyDescent="0.25">
      <c r="B1961" s="336" t="s">
        <v>416</v>
      </c>
      <c r="C1961" s="337">
        <v>40325</v>
      </c>
      <c r="D1961" s="338" t="s">
        <v>5631</v>
      </c>
      <c r="E1961" s="338" t="s">
        <v>3299</v>
      </c>
      <c r="F1961" s="338"/>
      <c r="G1961" s="338" t="s">
        <v>413</v>
      </c>
      <c r="H1961" s="338" t="s">
        <v>412</v>
      </c>
      <c r="I1961" s="338" t="s">
        <v>411</v>
      </c>
      <c r="J1961" s="339"/>
      <c r="K1961" s="339"/>
      <c r="L1961" s="339" t="s">
        <v>409</v>
      </c>
      <c r="M1961" s="339" t="s">
        <v>409</v>
      </c>
      <c r="N1961" s="338" t="s">
        <v>417</v>
      </c>
      <c r="O1961" s="338" t="s">
        <v>409</v>
      </c>
      <c r="P1961" s="338" t="s">
        <v>410</v>
      </c>
    </row>
    <row r="1962" spans="2:16" x14ac:dyDescent="0.25">
      <c r="B1962" s="336" t="s">
        <v>416</v>
      </c>
      <c r="C1962" s="337">
        <v>40324</v>
      </c>
      <c r="D1962" s="338" t="s">
        <v>5630</v>
      </c>
      <c r="E1962" s="338" t="s">
        <v>2869</v>
      </c>
      <c r="F1962" s="338"/>
      <c r="G1962" s="338" t="s">
        <v>413</v>
      </c>
      <c r="H1962" s="338" t="s">
        <v>412</v>
      </c>
      <c r="I1962" s="338" t="s">
        <v>411</v>
      </c>
      <c r="J1962" s="339"/>
      <c r="K1962" s="339"/>
      <c r="L1962" s="339" t="s">
        <v>409</v>
      </c>
      <c r="M1962" s="339" t="s">
        <v>409</v>
      </c>
      <c r="N1962" s="338" t="s">
        <v>417</v>
      </c>
      <c r="O1962" s="338" t="s">
        <v>409</v>
      </c>
      <c r="P1962" s="338" t="s">
        <v>417</v>
      </c>
    </row>
    <row r="1963" spans="2:16" x14ac:dyDescent="0.25">
      <c r="B1963" s="336" t="s">
        <v>416</v>
      </c>
      <c r="C1963" s="337">
        <v>40323</v>
      </c>
      <c r="D1963" s="338" t="s">
        <v>5629</v>
      </c>
      <c r="E1963" s="338" t="s">
        <v>5628</v>
      </c>
      <c r="F1963" s="338" t="s">
        <v>5627</v>
      </c>
      <c r="G1963" s="338" t="s">
        <v>413</v>
      </c>
      <c r="H1963" s="338" t="s">
        <v>425</v>
      </c>
      <c r="I1963" s="338" t="s">
        <v>411</v>
      </c>
      <c r="J1963" s="339"/>
      <c r="K1963" s="339"/>
      <c r="L1963" s="339">
        <v>2.9908399999999999</v>
      </c>
      <c r="M1963" s="339">
        <v>7.7401600000000004</v>
      </c>
      <c r="N1963" s="338"/>
      <c r="O1963" s="338" t="s">
        <v>605</v>
      </c>
      <c r="P1963" s="338" t="s">
        <v>487</v>
      </c>
    </row>
    <row r="1964" spans="2:16" x14ac:dyDescent="0.25">
      <c r="B1964" s="336" t="s">
        <v>416</v>
      </c>
      <c r="C1964" s="337">
        <v>40322</v>
      </c>
      <c r="D1964" s="338" t="s">
        <v>785</v>
      </c>
      <c r="E1964" s="338" t="s">
        <v>5626</v>
      </c>
      <c r="F1964" s="338"/>
      <c r="G1964" s="338" t="s">
        <v>413</v>
      </c>
      <c r="H1964" s="338" t="s">
        <v>412</v>
      </c>
      <c r="I1964" s="338" t="s">
        <v>411</v>
      </c>
      <c r="J1964" s="339">
        <v>4.7986599999999997E-2</v>
      </c>
      <c r="K1964" s="339"/>
      <c r="L1964" s="339" t="s">
        <v>409</v>
      </c>
      <c r="M1964" s="339" t="s">
        <v>409</v>
      </c>
      <c r="N1964" s="338" t="s">
        <v>417</v>
      </c>
      <c r="O1964" s="338" t="s">
        <v>409</v>
      </c>
      <c r="P1964" s="338" t="s">
        <v>482</v>
      </c>
    </row>
    <row r="1965" spans="2:16" x14ac:dyDescent="0.25">
      <c r="B1965" s="336" t="s">
        <v>416</v>
      </c>
      <c r="C1965" s="337">
        <v>40322</v>
      </c>
      <c r="D1965" s="338" t="s">
        <v>5625</v>
      </c>
      <c r="E1965" s="338" t="s">
        <v>714</v>
      </c>
      <c r="F1965" s="338"/>
      <c r="G1965" s="338" t="s">
        <v>413</v>
      </c>
      <c r="H1965" s="338" t="s">
        <v>412</v>
      </c>
      <c r="I1965" s="338" t="s">
        <v>411</v>
      </c>
      <c r="J1965" s="339"/>
      <c r="K1965" s="339"/>
      <c r="L1965" s="339" t="s">
        <v>409</v>
      </c>
      <c r="M1965" s="339" t="s">
        <v>409</v>
      </c>
      <c r="N1965" s="338" t="s">
        <v>410</v>
      </c>
      <c r="O1965" s="338" t="s">
        <v>409</v>
      </c>
      <c r="P1965" s="338" t="s">
        <v>417</v>
      </c>
    </row>
    <row r="1966" spans="2:16" x14ac:dyDescent="0.25">
      <c r="B1966" s="336" t="s">
        <v>416</v>
      </c>
      <c r="C1966" s="337">
        <v>40322</v>
      </c>
      <c r="D1966" s="338" t="s">
        <v>5624</v>
      </c>
      <c r="E1966" s="338" t="s">
        <v>978</v>
      </c>
      <c r="F1966" s="338" t="s">
        <v>5623</v>
      </c>
      <c r="G1966" s="338" t="s">
        <v>413</v>
      </c>
      <c r="H1966" s="338" t="s">
        <v>425</v>
      </c>
      <c r="I1966" s="338" t="s">
        <v>411</v>
      </c>
      <c r="J1966" s="339"/>
      <c r="K1966" s="339"/>
      <c r="L1966" s="339"/>
      <c r="M1966" s="339"/>
      <c r="N1966" s="338"/>
      <c r="O1966" s="338" t="s">
        <v>417</v>
      </c>
      <c r="P1966" s="338" t="s">
        <v>417</v>
      </c>
    </row>
    <row r="1967" spans="2:16" x14ac:dyDescent="0.25">
      <c r="B1967" s="336" t="s">
        <v>416</v>
      </c>
      <c r="C1967" s="337">
        <v>40320</v>
      </c>
      <c r="D1967" s="338" t="s">
        <v>5622</v>
      </c>
      <c r="E1967" s="338" t="s">
        <v>5523</v>
      </c>
      <c r="F1967" s="338"/>
      <c r="G1967" s="338" t="s">
        <v>413</v>
      </c>
      <c r="H1967" s="338" t="s">
        <v>425</v>
      </c>
      <c r="I1967" s="338" t="s">
        <v>411</v>
      </c>
      <c r="J1967" s="339"/>
      <c r="K1967" s="339"/>
      <c r="L1967" s="339" t="s">
        <v>409</v>
      </c>
      <c r="M1967" s="339" t="s">
        <v>409</v>
      </c>
      <c r="N1967" s="338" t="s">
        <v>417</v>
      </c>
      <c r="O1967" s="338" t="s">
        <v>409</v>
      </c>
      <c r="P1967" s="338" t="s">
        <v>443</v>
      </c>
    </row>
    <row r="1968" spans="2:16" x14ac:dyDescent="0.25">
      <c r="B1968" s="336" t="s">
        <v>459</v>
      </c>
      <c r="C1968" s="337">
        <v>40319</v>
      </c>
      <c r="D1968" s="338" t="s">
        <v>2773</v>
      </c>
      <c r="E1968" s="338" t="s">
        <v>3891</v>
      </c>
      <c r="F1968" s="338"/>
      <c r="G1968" s="338">
        <v>24.98</v>
      </c>
      <c r="H1968" s="338" t="s">
        <v>425</v>
      </c>
      <c r="I1968" s="338" t="s">
        <v>411</v>
      </c>
      <c r="J1968" s="339">
        <v>0.111817</v>
      </c>
      <c r="K1968" s="339"/>
      <c r="L1968" s="339" t="s">
        <v>409</v>
      </c>
      <c r="M1968" s="339" t="s">
        <v>409</v>
      </c>
      <c r="N1968" s="338" t="s">
        <v>417</v>
      </c>
      <c r="O1968" s="338" t="s">
        <v>409</v>
      </c>
      <c r="P1968" s="338"/>
    </row>
    <row r="1969" spans="2:16" x14ac:dyDescent="0.25">
      <c r="B1969" s="336" t="s">
        <v>416</v>
      </c>
      <c r="C1969" s="337">
        <v>40317</v>
      </c>
      <c r="D1969" s="338" t="s">
        <v>5621</v>
      </c>
      <c r="E1969" s="338" t="s">
        <v>5620</v>
      </c>
      <c r="F1969" s="338"/>
      <c r="G1969" s="338" t="s">
        <v>413</v>
      </c>
      <c r="H1969" s="338" t="s">
        <v>412</v>
      </c>
      <c r="I1969" s="338" t="s">
        <v>411</v>
      </c>
      <c r="J1969" s="339"/>
      <c r="K1969" s="339"/>
      <c r="L1969" s="339" t="s">
        <v>409</v>
      </c>
      <c r="M1969" s="339" t="s">
        <v>409</v>
      </c>
      <c r="N1969" s="338" t="s">
        <v>487</v>
      </c>
      <c r="O1969" s="338" t="s">
        <v>409</v>
      </c>
      <c r="P1969" s="338" t="s">
        <v>482</v>
      </c>
    </row>
    <row r="1970" spans="2:16" x14ac:dyDescent="0.25">
      <c r="B1970" s="336" t="s">
        <v>416</v>
      </c>
      <c r="C1970" s="337">
        <v>40317</v>
      </c>
      <c r="D1970" s="338" t="s">
        <v>822</v>
      </c>
      <c r="E1970" s="338" t="s">
        <v>468</v>
      </c>
      <c r="F1970" s="338" t="s">
        <v>5619</v>
      </c>
      <c r="G1970" s="338" t="s">
        <v>413</v>
      </c>
      <c r="H1970" s="338" t="s">
        <v>425</v>
      </c>
      <c r="I1970" s="338" t="s">
        <v>411</v>
      </c>
      <c r="J1970" s="339"/>
      <c r="K1970" s="339"/>
      <c r="L1970" s="339"/>
      <c r="M1970" s="339"/>
      <c r="N1970" s="338" t="s">
        <v>417</v>
      </c>
      <c r="O1970" s="338" t="s">
        <v>417</v>
      </c>
      <c r="P1970" s="338" t="s">
        <v>443</v>
      </c>
    </row>
    <row r="1971" spans="2:16" x14ac:dyDescent="0.25">
      <c r="B1971" s="336" t="s">
        <v>416</v>
      </c>
      <c r="C1971" s="337">
        <v>40317</v>
      </c>
      <c r="D1971" s="338" t="s">
        <v>5618</v>
      </c>
      <c r="E1971" s="338" t="s">
        <v>5617</v>
      </c>
      <c r="F1971" s="338"/>
      <c r="G1971" s="338" t="s">
        <v>413</v>
      </c>
      <c r="H1971" s="338" t="s">
        <v>412</v>
      </c>
      <c r="I1971" s="338" t="s">
        <v>411</v>
      </c>
      <c r="J1971" s="339"/>
      <c r="K1971" s="339"/>
      <c r="L1971" s="339" t="s">
        <v>409</v>
      </c>
      <c r="M1971" s="339" t="s">
        <v>409</v>
      </c>
      <c r="N1971" s="338" t="s">
        <v>417</v>
      </c>
      <c r="O1971" s="338" t="s">
        <v>409</v>
      </c>
      <c r="P1971" s="338" t="s">
        <v>417</v>
      </c>
    </row>
    <row r="1972" spans="2:16" x14ac:dyDescent="0.25">
      <c r="B1972" s="336" t="s">
        <v>459</v>
      </c>
      <c r="C1972" s="337">
        <v>40316</v>
      </c>
      <c r="D1972" s="338" t="s">
        <v>2903</v>
      </c>
      <c r="E1972" s="338" t="s">
        <v>5616</v>
      </c>
      <c r="F1972" s="338"/>
      <c r="G1972" s="338">
        <v>10.199999999999999</v>
      </c>
      <c r="H1972" s="338" t="s">
        <v>425</v>
      </c>
      <c r="I1972" s="338" t="s">
        <v>411</v>
      </c>
      <c r="J1972" s="339"/>
      <c r="K1972" s="339"/>
      <c r="L1972" s="339" t="s">
        <v>409</v>
      </c>
      <c r="M1972" s="339" t="s">
        <v>409</v>
      </c>
      <c r="N1972" s="338" t="s">
        <v>417</v>
      </c>
      <c r="O1972" s="338" t="s">
        <v>409</v>
      </c>
      <c r="P1972" s="338"/>
    </row>
    <row r="1973" spans="2:16" x14ac:dyDescent="0.25">
      <c r="B1973" s="336" t="s">
        <v>416</v>
      </c>
      <c r="C1973" s="337">
        <v>40315</v>
      </c>
      <c r="D1973" s="338" t="s">
        <v>5615</v>
      </c>
      <c r="E1973" s="338" t="s">
        <v>2145</v>
      </c>
      <c r="F1973" s="338"/>
      <c r="G1973" s="338">
        <v>256</v>
      </c>
      <c r="H1973" s="338" t="s">
        <v>412</v>
      </c>
      <c r="I1973" s="338" t="s">
        <v>411</v>
      </c>
      <c r="J1973" s="339"/>
      <c r="K1973" s="339"/>
      <c r="L1973" s="339" t="s">
        <v>409</v>
      </c>
      <c r="M1973" s="339" t="s">
        <v>409</v>
      </c>
      <c r="N1973" s="338" t="s">
        <v>417</v>
      </c>
      <c r="O1973" s="338" t="s">
        <v>409</v>
      </c>
      <c r="P1973" s="338" t="s">
        <v>410</v>
      </c>
    </row>
    <row r="1974" spans="2:16" x14ac:dyDescent="0.25">
      <c r="B1974" s="336" t="s">
        <v>416</v>
      </c>
      <c r="C1974" s="337">
        <v>40315</v>
      </c>
      <c r="D1974" s="338" t="s">
        <v>5614</v>
      </c>
      <c r="E1974" s="338" t="s">
        <v>5613</v>
      </c>
      <c r="F1974" s="338"/>
      <c r="G1974" s="338" t="s">
        <v>413</v>
      </c>
      <c r="H1974" s="338" t="s">
        <v>425</v>
      </c>
      <c r="I1974" s="338" t="s">
        <v>411</v>
      </c>
      <c r="J1974" s="339"/>
      <c r="K1974" s="339"/>
      <c r="L1974" s="339" t="s">
        <v>409</v>
      </c>
      <c r="M1974" s="339" t="s">
        <v>409</v>
      </c>
      <c r="N1974" s="338"/>
      <c r="O1974" s="338" t="s">
        <v>409</v>
      </c>
      <c r="P1974" s="338" t="s">
        <v>417</v>
      </c>
    </row>
    <row r="1975" spans="2:16" x14ac:dyDescent="0.25">
      <c r="B1975" s="336" t="s">
        <v>416</v>
      </c>
      <c r="C1975" s="337">
        <v>40312</v>
      </c>
      <c r="D1975" s="338" t="s">
        <v>5612</v>
      </c>
      <c r="E1975" s="338" t="s">
        <v>5611</v>
      </c>
      <c r="F1975" s="338" t="s">
        <v>5610</v>
      </c>
      <c r="G1975" s="338">
        <v>80</v>
      </c>
      <c r="H1975" s="338" t="s">
        <v>418</v>
      </c>
      <c r="I1975" s="338" t="s">
        <v>411</v>
      </c>
      <c r="J1975" s="339"/>
      <c r="K1975" s="339"/>
      <c r="L1975" s="339"/>
      <c r="M1975" s="339"/>
      <c r="N1975" s="338"/>
      <c r="O1975" s="338" t="s">
        <v>417</v>
      </c>
      <c r="P1975" s="338" t="s">
        <v>543</v>
      </c>
    </row>
    <row r="1976" spans="2:16" x14ac:dyDescent="0.25">
      <c r="B1976" s="336" t="s">
        <v>541</v>
      </c>
      <c r="C1976" s="337">
        <v>40312</v>
      </c>
      <c r="D1976" s="338" t="s">
        <v>5609</v>
      </c>
      <c r="E1976" s="338" t="s">
        <v>539</v>
      </c>
      <c r="F1976" s="338" t="s">
        <v>4852</v>
      </c>
      <c r="G1976" s="338" t="s">
        <v>413</v>
      </c>
      <c r="H1976" s="338"/>
      <c r="I1976" s="338" t="s">
        <v>411</v>
      </c>
      <c r="J1976" s="339"/>
      <c r="K1976" s="339"/>
      <c r="L1976" s="339"/>
      <c r="M1976" s="339"/>
      <c r="N1976" s="338" t="s">
        <v>410</v>
      </c>
      <c r="O1976" s="338" t="s">
        <v>417</v>
      </c>
      <c r="P1976" s="338" t="s">
        <v>409</v>
      </c>
    </row>
    <row r="1977" spans="2:16" x14ac:dyDescent="0.25">
      <c r="B1977" s="336" t="s">
        <v>459</v>
      </c>
      <c r="C1977" s="337">
        <v>40312</v>
      </c>
      <c r="D1977" s="338" t="s">
        <v>5608</v>
      </c>
      <c r="E1977" s="338" t="s">
        <v>5607</v>
      </c>
      <c r="F1977" s="338"/>
      <c r="G1977" s="338">
        <v>60</v>
      </c>
      <c r="H1977" s="338" t="s">
        <v>425</v>
      </c>
      <c r="I1977" s="338" t="s">
        <v>411</v>
      </c>
      <c r="J1977" s="339"/>
      <c r="K1977" s="339"/>
      <c r="L1977" s="339" t="s">
        <v>409</v>
      </c>
      <c r="M1977" s="339" t="s">
        <v>409</v>
      </c>
      <c r="N1977" s="338" t="s">
        <v>417</v>
      </c>
      <c r="O1977" s="338" t="s">
        <v>409</v>
      </c>
      <c r="P1977" s="338" t="s">
        <v>417</v>
      </c>
    </row>
    <row r="1978" spans="2:16" x14ac:dyDescent="0.25">
      <c r="B1978" s="336" t="s">
        <v>459</v>
      </c>
      <c r="C1978" s="337">
        <v>40312</v>
      </c>
      <c r="D1978" s="338" t="s">
        <v>5103</v>
      </c>
      <c r="E1978" s="338" t="s">
        <v>5102</v>
      </c>
      <c r="F1978" s="338"/>
      <c r="G1978" s="338">
        <v>35</v>
      </c>
      <c r="H1978" s="338" t="s">
        <v>425</v>
      </c>
      <c r="I1978" s="338" t="s">
        <v>411</v>
      </c>
      <c r="J1978" s="339"/>
      <c r="K1978" s="339"/>
      <c r="L1978" s="339" t="s">
        <v>409</v>
      </c>
      <c r="M1978" s="339" t="s">
        <v>409</v>
      </c>
      <c r="N1978" s="338" t="s">
        <v>417</v>
      </c>
      <c r="O1978" s="338" t="s">
        <v>409</v>
      </c>
      <c r="P1978" s="338"/>
    </row>
    <row r="1979" spans="2:16" x14ac:dyDescent="0.25">
      <c r="B1979" s="336" t="s">
        <v>416</v>
      </c>
      <c r="C1979" s="337">
        <v>40311</v>
      </c>
      <c r="D1979" s="338" t="s">
        <v>5606</v>
      </c>
      <c r="E1979" s="338" t="s">
        <v>5605</v>
      </c>
      <c r="F1979" s="338" t="s">
        <v>3901</v>
      </c>
      <c r="G1979" s="338">
        <v>112.5</v>
      </c>
      <c r="H1979" s="338" t="s">
        <v>425</v>
      </c>
      <c r="I1979" s="338" t="s">
        <v>411</v>
      </c>
      <c r="J1979" s="339"/>
      <c r="K1979" s="339"/>
      <c r="L1979" s="339">
        <v>3.2259500000000001</v>
      </c>
      <c r="M1979" s="339">
        <v>15.357699999999999</v>
      </c>
      <c r="N1979" s="338"/>
      <c r="O1979" s="338" t="s">
        <v>417</v>
      </c>
      <c r="P1979" s="338" t="s">
        <v>417</v>
      </c>
    </row>
    <row r="1980" spans="2:16" x14ac:dyDescent="0.25">
      <c r="B1980" s="336" t="s">
        <v>459</v>
      </c>
      <c r="C1980" s="337">
        <v>40311</v>
      </c>
      <c r="D1980" s="338" t="s">
        <v>5604</v>
      </c>
      <c r="E1980" s="338" t="s">
        <v>5603</v>
      </c>
      <c r="F1980" s="338"/>
      <c r="G1980" s="338">
        <v>7</v>
      </c>
      <c r="H1980" s="338" t="s">
        <v>425</v>
      </c>
      <c r="I1980" s="338" t="s">
        <v>411</v>
      </c>
      <c r="J1980" s="339"/>
      <c r="K1980" s="339"/>
      <c r="L1980" s="339" t="s">
        <v>409</v>
      </c>
      <c r="M1980" s="339" t="s">
        <v>409</v>
      </c>
      <c r="N1980" s="338" t="s">
        <v>417</v>
      </c>
      <c r="O1980" s="338" t="s">
        <v>409</v>
      </c>
      <c r="P1980" s="338"/>
    </row>
    <row r="1981" spans="2:16" x14ac:dyDescent="0.25">
      <c r="B1981" s="336" t="s">
        <v>416</v>
      </c>
      <c r="C1981" s="337">
        <v>40310</v>
      </c>
      <c r="D1981" s="338" t="s">
        <v>5602</v>
      </c>
      <c r="E1981" s="338" t="s">
        <v>5601</v>
      </c>
      <c r="F1981" s="338"/>
      <c r="G1981" s="338" t="s">
        <v>413</v>
      </c>
      <c r="H1981" s="338" t="s">
        <v>412</v>
      </c>
      <c r="I1981" s="338" t="s">
        <v>411</v>
      </c>
      <c r="J1981" s="339"/>
      <c r="K1981" s="339"/>
      <c r="L1981" s="339" t="s">
        <v>409</v>
      </c>
      <c r="M1981" s="339" t="s">
        <v>409</v>
      </c>
      <c r="N1981" s="338" t="s">
        <v>417</v>
      </c>
      <c r="O1981" s="338" t="s">
        <v>409</v>
      </c>
      <c r="P1981" s="338" t="s">
        <v>432</v>
      </c>
    </row>
    <row r="1982" spans="2:16" x14ac:dyDescent="0.25">
      <c r="B1982" s="336" t="s">
        <v>416</v>
      </c>
      <c r="C1982" s="337">
        <v>40310</v>
      </c>
      <c r="D1982" s="338" t="s">
        <v>5600</v>
      </c>
      <c r="E1982" s="338" t="s">
        <v>3069</v>
      </c>
      <c r="F1982" s="338"/>
      <c r="G1982" s="338" t="s">
        <v>413</v>
      </c>
      <c r="H1982" s="338" t="s">
        <v>425</v>
      </c>
      <c r="I1982" s="338" t="s">
        <v>411</v>
      </c>
      <c r="J1982" s="339"/>
      <c r="K1982" s="339"/>
      <c r="L1982" s="339" t="s">
        <v>409</v>
      </c>
      <c r="M1982" s="339" t="s">
        <v>409</v>
      </c>
      <c r="N1982" s="338" t="s">
        <v>417</v>
      </c>
      <c r="O1982" s="338" t="s">
        <v>409</v>
      </c>
      <c r="P1982" s="338" t="s">
        <v>443</v>
      </c>
    </row>
    <row r="1983" spans="2:16" x14ac:dyDescent="0.25">
      <c r="B1983" s="336" t="s">
        <v>459</v>
      </c>
      <c r="C1983" s="337">
        <v>40309</v>
      </c>
      <c r="D1983" s="338" t="s">
        <v>3743</v>
      </c>
      <c r="E1983" s="338" t="s">
        <v>1733</v>
      </c>
      <c r="F1983" s="338"/>
      <c r="G1983" s="338" t="s">
        <v>413</v>
      </c>
      <c r="H1983" s="338" t="s">
        <v>425</v>
      </c>
      <c r="I1983" s="338" t="s">
        <v>411</v>
      </c>
      <c r="J1983" s="339">
        <v>0.530887</v>
      </c>
      <c r="K1983" s="339">
        <v>14.640700000000001</v>
      </c>
      <c r="L1983" s="339" t="s">
        <v>409</v>
      </c>
      <c r="M1983" s="339" t="s">
        <v>409</v>
      </c>
      <c r="N1983" s="338" t="s">
        <v>417</v>
      </c>
      <c r="O1983" s="338" t="s">
        <v>409</v>
      </c>
      <c r="P1983" s="338" t="s">
        <v>443</v>
      </c>
    </row>
    <row r="1984" spans="2:16" x14ac:dyDescent="0.25">
      <c r="B1984" s="336" t="s">
        <v>416</v>
      </c>
      <c r="C1984" s="337">
        <v>40309</v>
      </c>
      <c r="D1984" s="338" t="s">
        <v>5599</v>
      </c>
      <c r="E1984" s="338" t="s">
        <v>5598</v>
      </c>
      <c r="F1984" s="338" t="s">
        <v>5597</v>
      </c>
      <c r="G1984" s="338">
        <v>13.9</v>
      </c>
      <c r="H1984" s="338" t="s">
        <v>418</v>
      </c>
      <c r="I1984" s="338" t="s">
        <v>411</v>
      </c>
      <c r="J1984" s="339"/>
      <c r="K1984" s="339"/>
      <c r="L1984" s="339"/>
      <c r="M1984" s="339"/>
      <c r="N1984" s="338" t="s">
        <v>432</v>
      </c>
      <c r="O1984" s="338"/>
      <c r="P1984" s="338" t="s">
        <v>432</v>
      </c>
    </row>
    <row r="1985" spans="2:16" x14ac:dyDescent="0.25">
      <c r="B1985" s="336" t="s">
        <v>416</v>
      </c>
      <c r="C1985" s="337">
        <v>40308</v>
      </c>
      <c r="D1985" s="338" t="s">
        <v>5596</v>
      </c>
      <c r="E1985" s="338" t="s">
        <v>5595</v>
      </c>
      <c r="F1985" s="338"/>
      <c r="G1985" s="338">
        <v>85.7</v>
      </c>
      <c r="H1985" s="338" t="s">
        <v>425</v>
      </c>
      <c r="I1985" s="338" t="s">
        <v>411</v>
      </c>
      <c r="J1985" s="339"/>
      <c r="K1985" s="339"/>
      <c r="L1985" s="339" t="s">
        <v>409</v>
      </c>
      <c r="M1985" s="339" t="s">
        <v>409</v>
      </c>
      <c r="N1985" s="338" t="s">
        <v>417</v>
      </c>
      <c r="O1985" s="338" t="s">
        <v>409</v>
      </c>
      <c r="P1985" s="338" t="s">
        <v>417</v>
      </c>
    </row>
    <row r="1986" spans="2:16" x14ac:dyDescent="0.25">
      <c r="B1986" s="336" t="s">
        <v>416</v>
      </c>
      <c r="C1986" s="337">
        <v>40308</v>
      </c>
      <c r="D1986" s="338" t="s">
        <v>5594</v>
      </c>
      <c r="E1986" s="338" t="s">
        <v>5593</v>
      </c>
      <c r="F1986" s="338"/>
      <c r="G1986" s="338">
        <v>78.430000000000007</v>
      </c>
      <c r="H1986" s="338" t="s">
        <v>425</v>
      </c>
      <c r="I1986" s="338" t="s">
        <v>411</v>
      </c>
      <c r="J1986" s="339">
        <v>0.39935599999999999</v>
      </c>
      <c r="K1986" s="339">
        <v>7.3232799999999996</v>
      </c>
      <c r="L1986" s="339" t="s">
        <v>409</v>
      </c>
      <c r="M1986" s="339" t="s">
        <v>409</v>
      </c>
      <c r="N1986" s="338" t="s">
        <v>417</v>
      </c>
      <c r="O1986" s="338" t="s">
        <v>409</v>
      </c>
      <c r="P1986" s="338" t="s">
        <v>443</v>
      </c>
    </row>
    <row r="1987" spans="2:16" x14ac:dyDescent="0.25">
      <c r="B1987" s="336" t="s">
        <v>416</v>
      </c>
      <c r="C1987" s="337">
        <v>40308</v>
      </c>
      <c r="D1987" s="338" t="s">
        <v>5592</v>
      </c>
      <c r="E1987" s="338" t="s">
        <v>5591</v>
      </c>
      <c r="F1987" s="338"/>
      <c r="G1987" s="338" t="s">
        <v>413</v>
      </c>
      <c r="H1987" s="338" t="s">
        <v>412</v>
      </c>
      <c r="I1987" s="338" t="s">
        <v>411</v>
      </c>
      <c r="J1987" s="339"/>
      <c r="K1987" s="339"/>
      <c r="L1987" s="339" t="s">
        <v>409</v>
      </c>
      <c r="M1987" s="339" t="s">
        <v>409</v>
      </c>
      <c r="N1987" s="338" t="s">
        <v>417</v>
      </c>
      <c r="O1987" s="338" t="s">
        <v>409</v>
      </c>
      <c r="P1987" s="338" t="s">
        <v>482</v>
      </c>
    </row>
    <row r="1988" spans="2:16" x14ac:dyDescent="0.25">
      <c r="B1988" s="336" t="s">
        <v>459</v>
      </c>
      <c r="C1988" s="337">
        <v>40305</v>
      </c>
      <c r="D1988" s="338" t="s">
        <v>5590</v>
      </c>
      <c r="E1988" s="338" t="s">
        <v>5589</v>
      </c>
      <c r="F1988" s="338"/>
      <c r="G1988" s="338" t="s">
        <v>413</v>
      </c>
      <c r="H1988" s="338" t="s">
        <v>412</v>
      </c>
      <c r="I1988" s="338" t="s">
        <v>411</v>
      </c>
      <c r="J1988" s="339"/>
      <c r="K1988" s="339"/>
      <c r="L1988" s="339" t="s">
        <v>409</v>
      </c>
      <c r="M1988" s="339" t="s">
        <v>409</v>
      </c>
      <c r="N1988" s="338" t="s">
        <v>410</v>
      </c>
      <c r="O1988" s="338" t="s">
        <v>409</v>
      </c>
      <c r="P1988" s="338" t="s">
        <v>432</v>
      </c>
    </row>
    <row r="1989" spans="2:16" x14ac:dyDescent="0.25">
      <c r="B1989" s="336" t="s">
        <v>416</v>
      </c>
      <c r="C1989" s="337">
        <v>40304</v>
      </c>
      <c r="D1989" s="338" t="s">
        <v>1343</v>
      </c>
      <c r="E1989" s="338" t="s">
        <v>644</v>
      </c>
      <c r="F1989" s="338" t="s">
        <v>1342</v>
      </c>
      <c r="G1989" s="338">
        <v>180</v>
      </c>
      <c r="H1989" s="338" t="s">
        <v>425</v>
      </c>
      <c r="I1989" s="338" t="s">
        <v>411</v>
      </c>
      <c r="J1989" s="339"/>
      <c r="K1989" s="339"/>
      <c r="L1989" s="339"/>
      <c r="M1989" s="339"/>
      <c r="N1989" s="338" t="s">
        <v>417</v>
      </c>
      <c r="O1989" s="338" t="s">
        <v>443</v>
      </c>
      <c r="P1989" s="338" t="s">
        <v>417</v>
      </c>
    </row>
    <row r="1990" spans="2:16" x14ac:dyDescent="0.25">
      <c r="B1990" s="336" t="s">
        <v>416</v>
      </c>
      <c r="C1990" s="337">
        <v>40304</v>
      </c>
      <c r="D1990" s="338" t="s">
        <v>5588</v>
      </c>
      <c r="E1990" s="338" t="s">
        <v>2869</v>
      </c>
      <c r="F1990" s="338"/>
      <c r="G1990" s="338" t="s">
        <v>413</v>
      </c>
      <c r="H1990" s="338" t="s">
        <v>412</v>
      </c>
      <c r="I1990" s="338" t="s">
        <v>411</v>
      </c>
      <c r="J1990" s="339"/>
      <c r="K1990" s="339"/>
      <c r="L1990" s="339" t="s">
        <v>409</v>
      </c>
      <c r="M1990" s="339" t="s">
        <v>409</v>
      </c>
      <c r="N1990" s="338" t="s">
        <v>417</v>
      </c>
      <c r="O1990" s="338" t="s">
        <v>409</v>
      </c>
      <c r="P1990" s="338" t="s">
        <v>417</v>
      </c>
    </row>
    <row r="1991" spans="2:16" x14ac:dyDescent="0.25">
      <c r="B1991" s="336" t="s">
        <v>416</v>
      </c>
      <c r="C1991" s="337">
        <v>40303</v>
      </c>
      <c r="D1991" s="338" t="s">
        <v>5587</v>
      </c>
      <c r="E1991" s="338" t="s">
        <v>5586</v>
      </c>
      <c r="F1991" s="338" t="s">
        <v>5585</v>
      </c>
      <c r="G1991" s="338" t="s">
        <v>413</v>
      </c>
      <c r="H1991" s="338" t="s">
        <v>425</v>
      </c>
      <c r="I1991" s="338" t="s">
        <v>411</v>
      </c>
      <c r="J1991" s="339"/>
      <c r="K1991" s="339"/>
      <c r="L1991" s="339"/>
      <c r="M1991" s="339"/>
      <c r="N1991" s="338"/>
      <c r="O1991" s="338" t="s">
        <v>487</v>
      </c>
      <c r="P1991" s="338" t="s">
        <v>417</v>
      </c>
    </row>
    <row r="1992" spans="2:16" x14ac:dyDescent="0.25">
      <c r="B1992" s="336" t="s">
        <v>416</v>
      </c>
      <c r="C1992" s="337">
        <v>40303</v>
      </c>
      <c r="D1992" s="338" t="s">
        <v>5584</v>
      </c>
      <c r="E1992" s="338" t="s">
        <v>889</v>
      </c>
      <c r="F1992" s="338"/>
      <c r="G1992" s="338" t="s">
        <v>413</v>
      </c>
      <c r="H1992" s="338" t="s">
        <v>412</v>
      </c>
      <c r="I1992" s="338" t="s">
        <v>411</v>
      </c>
      <c r="J1992" s="339"/>
      <c r="K1992" s="339"/>
      <c r="L1992" s="339" t="s">
        <v>409</v>
      </c>
      <c r="M1992" s="339" t="s">
        <v>409</v>
      </c>
      <c r="N1992" s="338" t="s">
        <v>417</v>
      </c>
      <c r="O1992" s="338" t="s">
        <v>409</v>
      </c>
      <c r="P1992" s="338" t="s">
        <v>410</v>
      </c>
    </row>
    <row r="1993" spans="2:16" x14ac:dyDescent="0.25">
      <c r="B1993" s="336" t="s">
        <v>416</v>
      </c>
      <c r="C1993" s="337">
        <v>40302</v>
      </c>
      <c r="D1993" s="338" t="s">
        <v>5583</v>
      </c>
      <c r="E1993" s="338" t="s">
        <v>5484</v>
      </c>
      <c r="F1993" s="338" t="s">
        <v>5582</v>
      </c>
      <c r="G1993" s="338">
        <v>4.43</v>
      </c>
      <c r="H1993" s="338" t="s">
        <v>425</v>
      </c>
      <c r="I1993" s="338" t="s">
        <v>411</v>
      </c>
      <c r="J1993" s="339"/>
      <c r="K1993" s="339"/>
      <c r="L1993" s="339"/>
      <c r="M1993" s="339"/>
      <c r="N1993" s="338" t="s">
        <v>432</v>
      </c>
      <c r="O1993" s="338" t="s">
        <v>443</v>
      </c>
      <c r="P1993" s="338" t="s">
        <v>417</v>
      </c>
    </row>
    <row r="1994" spans="2:16" x14ac:dyDescent="0.25">
      <c r="B1994" s="336" t="s">
        <v>416</v>
      </c>
      <c r="C1994" s="337">
        <v>40301</v>
      </c>
      <c r="D1994" s="338" t="s">
        <v>1776</v>
      </c>
      <c r="E1994" s="338" t="s">
        <v>5436</v>
      </c>
      <c r="F1994" s="338" t="s">
        <v>1591</v>
      </c>
      <c r="G1994" s="338">
        <v>570</v>
      </c>
      <c r="H1994" s="338" t="s">
        <v>425</v>
      </c>
      <c r="I1994" s="338" t="s">
        <v>411</v>
      </c>
      <c r="J1994" s="339"/>
      <c r="K1994" s="339"/>
      <c r="L1994" s="339"/>
      <c r="M1994" s="339"/>
      <c r="N1994" s="338" t="s">
        <v>417</v>
      </c>
      <c r="O1994" s="338" t="s">
        <v>443</v>
      </c>
      <c r="P1994" s="338" t="s">
        <v>443</v>
      </c>
    </row>
    <row r="1995" spans="2:16" x14ac:dyDescent="0.25">
      <c r="B1995" s="336" t="s">
        <v>416</v>
      </c>
      <c r="C1995" s="337">
        <v>40301</v>
      </c>
      <c r="D1995" s="338" t="s">
        <v>5581</v>
      </c>
      <c r="E1995" s="338" t="s">
        <v>4869</v>
      </c>
      <c r="F1995" s="338"/>
      <c r="G1995" s="338">
        <v>0.96</v>
      </c>
      <c r="H1995" s="338" t="s">
        <v>425</v>
      </c>
      <c r="I1995" s="338" t="s">
        <v>411</v>
      </c>
      <c r="J1995" s="339"/>
      <c r="K1995" s="339"/>
      <c r="L1995" s="339" t="s">
        <v>409</v>
      </c>
      <c r="M1995" s="339" t="s">
        <v>409</v>
      </c>
      <c r="N1995" s="338" t="s">
        <v>410</v>
      </c>
      <c r="O1995" s="338" t="s">
        <v>409</v>
      </c>
      <c r="P1995" s="338" t="s">
        <v>417</v>
      </c>
    </row>
    <row r="1996" spans="2:16" x14ac:dyDescent="0.25">
      <c r="B1996" s="336" t="s">
        <v>416</v>
      </c>
      <c r="C1996" s="337">
        <v>40300</v>
      </c>
      <c r="D1996" s="338" t="s">
        <v>5580</v>
      </c>
      <c r="E1996" s="338" t="s">
        <v>514</v>
      </c>
      <c r="F1996" s="338"/>
      <c r="G1996" s="338" t="s">
        <v>413</v>
      </c>
      <c r="H1996" s="338" t="s">
        <v>425</v>
      </c>
      <c r="I1996" s="338" t="s">
        <v>411</v>
      </c>
      <c r="J1996" s="339"/>
      <c r="K1996" s="339"/>
      <c r="L1996" s="339" t="s">
        <v>409</v>
      </c>
      <c r="M1996" s="339" t="s">
        <v>409</v>
      </c>
      <c r="N1996" s="338" t="s">
        <v>417</v>
      </c>
      <c r="O1996" s="338" t="s">
        <v>409</v>
      </c>
      <c r="P1996" s="338"/>
    </row>
    <row r="1997" spans="2:16" x14ac:dyDescent="0.25">
      <c r="B1997" s="336" t="s">
        <v>416</v>
      </c>
      <c r="C1997" s="337">
        <v>40298</v>
      </c>
      <c r="D1997" s="338" t="s">
        <v>5579</v>
      </c>
      <c r="E1997" s="338" t="s">
        <v>2749</v>
      </c>
      <c r="F1997" s="338"/>
      <c r="G1997" s="338" t="s">
        <v>413</v>
      </c>
      <c r="H1997" s="338" t="s">
        <v>412</v>
      </c>
      <c r="I1997" s="338" t="s">
        <v>411</v>
      </c>
      <c r="J1997" s="339"/>
      <c r="K1997" s="339"/>
      <c r="L1997" s="339" t="s">
        <v>409</v>
      </c>
      <c r="M1997" s="339" t="s">
        <v>409</v>
      </c>
      <c r="N1997" s="338" t="s">
        <v>432</v>
      </c>
      <c r="O1997" s="338" t="s">
        <v>409</v>
      </c>
      <c r="P1997" s="338" t="s">
        <v>432</v>
      </c>
    </row>
    <row r="1998" spans="2:16" x14ac:dyDescent="0.25">
      <c r="B1998" s="336" t="s">
        <v>416</v>
      </c>
      <c r="C1998" s="337">
        <v>40297</v>
      </c>
      <c r="D1998" s="338" t="s">
        <v>5578</v>
      </c>
      <c r="E1998" s="338" t="s">
        <v>761</v>
      </c>
      <c r="F1998" s="338"/>
      <c r="G1998" s="338">
        <v>31</v>
      </c>
      <c r="H1998" s="338" t="s">
        <v>425</v>
      </c>
      <c r="I1998" s="338" t="s">
        <v>411</v>
      </c>
      <c r="J1998" s="339"/>
      <c r="K1998" s="339"/>
      <c r="L1998" s="339" t="s">
        <v>409</v>
      </c>
      <c r="M1998" s="339" t="s">
        <v>409</v>
      </c>
      <c r="N1998" s="338" t="s">
        <v>417</v>
      </c>
      <c r="O1998" s="338" t="s">
        <v>409</v>
      </c>
      <c r="P1998" s="338" t="s">
        <v>417</v>
      </c>
    </row>
    <row r="1999" spans="2:16" x14ac:dyDescent="0.25">
      <c r="B1999" s="336" t="s">
        <v>416</v>
      </c>
      <c r="C1999" s="337">
        <v>40297</v>
      </c>
      <c r="D1999" s="338" t="s">
        <v>5577</v>
      </c>
      <c r="E1999" s="338" t="s">
        <v>1203</v>
      </c>
      <c r="F1999" s="338" t="s">
        <v>5576</v>
      </c>
      <c r="G1999" s="338" t="s">
        <v>413</v>
      </c>
      <c r="H1999" s="338" t="s">
        <v>425</v>
      </c>
      <c r="I1999" s="338" t="s">
        <v>411</v>
      </c>
      <c r="J1999" s="339"/>
      <c r="K1999" s="339"/>
      <c r="L1999" s="339"/>
      <c r="M1999" s="339"/>
      <c r="N1999" s="338"/>
      <c r="O1999" s="338"/>
      <c r="P1999" s="338" t="s">
        <v>417</v>
      </c>
    </row>
    <row r="2000" spans="2:16" x14ac:dyDescent="0.25">
      <c r="B2000" s="336" t="s">
        <v>416</v>
      </c>
      <c r="C2000" s="337">
        <v>40296</v>
      </c>
      <c r="D2000" s="338" t="s">
        <v>5575</v>
      </c>
      <c r="E2000" s="338" t="s">
        <v>5574</v>
      </c>
      <c r="F2000" s="338"/>
      <c r="G2000" s="338" t="s">
        <v>413</v>
      </c>
      <c r="H2000" s="338" t="s">
        <v>412</v>
      </c>
      <c r="I2000" s="338" t="s">
        <v>411</v>
      </c>
      <c r="J2000" s="339"/>
      <c r="K2000" s="339"/>
      <c r="L2000" s="339" t="s">
        <v>409</v>
      </c>
      <c r="M2000" s="339" t="s">
        <v>409</v>
      </c>
      <c r="N2000" s="338" t="s">
        <v>417</v>
      </c>
      <c r="O2000" s="338" t="s">
        <v>409</v>
      </c>
      <c r="P2000" s="338" t="s">
        <v>410</v>
      </c>
    </row>
    <row r="2001" spans="2:16" x14ac:dyDescent="0.25">
      <c r="B2001" s="336" t="s">
        <v>416</v>
      </c>
      <c r="C2001" s="337">
        <v>40294</v>
      </c>
      <c r="D2001" s="338" t="s">
        <v>5573</v>
      </c>
      <c r="E2001" s="338" t="s">
        <v>5572</v>
      </c>
      <c r="F2001" s="338"/>
      <c r="G2001" s="338" t="s">
        <v>413</v>
      </c>
      <c r="H2001" s="338" t="s">
        <v>412</v>
      </c>
      <c r="I2001" s="338" t="s">
        <v>411</v>
      </c>
      <c r="J2001" s="339"/>
      <c r="K2001" s="339"/>
      <c r="L2001" s="339" t="s">
        <v>409</v>
      </c>
      <c r="M2001" s="339" t="s">
        <v>409</v>
      </c>
      <c r="N2001" s="338" t="s">
        <v>417</v>
      </c>
      <c r="O2001" s="338" t="s">
        <v>409</v>
      </c>
      <c r="P2001" s="338" t="s">
        <v>432</v>
      </c>
    </row>
    <row r="2002" spans="2:16" x14ac:dyDescent="0.25">
      <c r="B2002" s="336" t="s">
        <v>416</v>
      </c>
      <c r="C2002" s="337">
        <v>40294</v>
      </c>
      <c r="D2002" s="338" t="s">
        <v>956</v>
      </c>
      <c r="E2002" s="338" t="s">
        <v>1203</v>
      </c>
      <c r="F2002" s="338" t="s">
        <v>5571</v>
      </c>
      <c r="G2002" s="338" t="s">
        <v>413</v>
      </c>
      <c r="H2002" s="338" t="s">
        <v>425</v>
      </c>
      <c r="I2002" s="338" t="s">
        <v>411</v>
      </c>
      <c r="J2002" s="339"/>
      <c r="K2002" s="339"/>
      <c r="L2002" s="339"/>
      <c r="M2002" s="339"/>
      <c r="N2002" s="338"/>
      <c r="O2002" s="338"/>
      <c r="P2002" s="338" t="s">
        <v>417</v>
      </c>
    </row>
    <row r="2003" spans="2:16" x14ac:dyDescent="0.25">
      <c r="B2003" s="336" t="s">
        <v>416</v>
      </c>
      <c r="C2003" s="337">
        <v>40294</v>
      </c>
      <c r="D2003" s="338" t="s">
        <v>956</v>
      </c>
      <c r="E2003" s="338" t="s">
        <v>714</v>
      </c>
      <c r="F2003" s="338" t="s">
        <v>5570</v>
      </c>
      <c r="G2003" s="338" t="s">
        <v>413</v>
      </c>
      <c r="H2003" s="338" t="s">
        <v>425</v>
      </c>
      <c r="I2003" s="338" t="s">
        <v>411</v>
      </c>
      <c r="J2003" s="339"/>
      <c r="K2003" s="339"/>
      <c r="L2003" s="339"/>
      <c r="M2003" s="339"/>
      <c r="N2003" s="338"/>
      <c r="O2003" s="338" t="s">
        <v>417</v>
      </c>
      <c r="P2003" s="338" t="s">
        <v>417</v>
      </c>
    </row>
    <row r="2004" spans="2:16" x14ac:dyDescent="0.25">
      <c r="B2004" s="336" t="s">
        <v>416</v>
      </c>
      <c r="C2004" s="337">
        <v>40294</v>
      </c>
      <c r="D2004" s="338" t="s">
        <v>5569</v>
      </c>
      <c r="E2004" s="338" t="s">
        <v>714</v>
      </c>
      <c r="F2004" s="338"/>
      <c r="G2004" s="338" t="s">
        <v>413</v>
      </c>
      <c r="H2004" s="338" t="s">
        <v>412</v>
      </c>
      <c r="I2004" s="338" t="s">
        <v>411</v>
      </c>
      <c r="J2004" s="339"/>
      <c r="K2004" s="339"/>
      <c r="L2004" s="339" t="s">
        <v>409</v>
      </c>
      <c r="M2004" s="339" t="s">
        <v>409</v>
      </c>
      <c r="N2004" s="338" t="s">
        <v>417</v>
      </c>
      <c r="O2004" s="338" t="s">
        <v>409</v>
      </c>
      <c r="P2004" s="338" t="s">
        <v>417</v>
      </c>
    </row>
    <row r="2005" spans="2:16" x14ac:dyDescent="0.25">
      <c r="B2005" s="336" t="s">
        <v>416</v>
      </c>
      <c r="C2005" s="337">
        <v>40292</v>
      </c>
      <c r="D2005" s="338" t="s">
        <v>444</v>
      </c>
      <c r="E2005" s="338" t="s">
        <v>1708</v>
      </c>
      <c r="F2005" s="338"/>
      <c r="G2005" s="338">
        <v>1009.5</v>
      </c>
      <c r="H2005" s="338" t="s">
        <v>425</v>
      </c>
      <c r="I2005" s="338" t="s">
        <v>411</v>
      </c>
      <c r="J2005" s="339"/>
      <c r="K2005" s="339"/>
      <c r="L2005" s="339" t="s">
        <v>409</v>
      </c>
      <c r="M2005" s="339" t="s">
        <v>409</v>
      </c>
      <c r="N2005" s="338" t="s">
        <v>417</v>
      </c>
      <c r="O2005" s="338" t="s">
        <v>409</v>
      </c>
      <c r="P2005" s="338" t="s">
        <v>443</v>
      </c>
    </row>
    <row r="2006" spans="2:16" x14ac:dyDescent="0.25">
      <c r="B2006" s="336" t="s">
        <v>459</v>
      </c>
      <c r="C2006" s="337">
        <v>40291</v>
      </c>
      <c r="D2006" s="338" t="s">
        <v>843</v>
      </c>
      <c r="E2006" s="338" t="s">
        <v>672</v>
      </c>
      <c r="F2006" s="338" t="s">
        <v>5568</v>
      </c>
      <c r="G2006" s="338">
        <v>558.1</v>
      </c>
      <c r="H2006" s="338" t="s">
        <v>425</v>
      </c>
      <c r="I2006" s="338" t="s">
        <v>411</v>
      </c>
      <c r="J2006" s="339">
        <v>0.30612499999999998</v>
      </c>
      <c r="K2006" s="339">
        <v>49.310099999999998</v>
      </c>
      <c r="L2006" s="339"/>
      <c r="M2006" s="339"/>
      <c r="N2006" s="338" t="s">
        <v>417</v>
      </c>
      <c r="O2006" s="338"/>
      <c r="P2006" s="338" t="s">
        <v>417</v>
      </c>
    </row>
    <row r="2007" spans="2:16" x14ac:dyDescent="0.25">
      <c r="B2007" s="336" t="s">
        <v>416</v>
      </c>
      <c r="C2007" s="337">
        <v>40291</v>
      </c>
      <c r="D2007" s="338" t="s">
        <v>5567</v>
      </c>
      <c r="E2007" s="338" t="s">
        <v>1141</v>
      </c>
      <c r="F2007" s="338" t="s">
        <v>2209</v>
      </c>
      <c r="G2007" s="338">
        <v>11.1</v>
      </c>
      <c r="H2007" s="338" t="s">
        <v>425</v>
      </c>
      <c r="I2007" s="338" t="s">
        <v>411</v>
      </c>
      <c r="J2007" s="339"/>
      <c r="K2007" s="339"/>
      <c r="L2007" s="339"/>
      <c r="M2007" s="339"/>
      <c r="N2007" s="338"/>
      <c r="O2007" s="338" t="s">
        <v>410</v>
      </c>
      <c r="P2007" s="338" t="s">
        <v>417</v>
      </c>
    </row>
    <row r="2008" spans="2:16" x14ac:dyDescent="0.25">
      <c r="B2008" s="336" t="s">
        <v>416</v>
      </c>
      <c r="C2008" s="337">
        <v>40289</v>
      </c>
      <c r="D2008" s="338" t="s">
        <v>5566</v>
      </c>
      <c r="E2008" s="338" t="s">
        <v>5565</v>
      </c>
      <c r="F2008" s="338"/>
      <c r="G2008" s="338" t="s">
        <v>413</v>
      </c>
      <c r="H2008" s="338" t="s">
        <v>412</v>
      </c>
      <c r="I2008" s="338" t="s">
        <v>411</v>
      </c>
      <c r="J2008" s="339"/>
      <c r="K2008" s="339"/>
      <c r="L2008" s="339" t="s">
        <v>409</v>
      </c>
      <c r="M2008" s="339" t="s">
        <v>409</v>
      </c>
      <c r="N2008" s="338"/>
      <c r="O2008" s="338" t="s">
        <v>409</v>
      </c>
      <c r="P2008" s="338" t="s">
        <v>443</v>
      </c>
    </row>
    <row r="2009" spans="2:16" x14ac:dyDescent="0.25">
      <c r="B2009" s="336" t="s">
        <v>416</v>
      </c>
      <c r="C2009" s="337">
        <v>40289</v>
      </c>
      <c r="D2009" s="338" t="s">
        <v>5564</v>
      </c>
      <c r="E2009" s="338" t="s">
        <v>1217</v>
      </c>
      <c r="F2009" s="338"/>
      <c r="G2009" s="338" t="s">
        <v>413</v>
      </c>
      <c r="H2009" s="338" t="s">
        <v>412</v>
      </c>
      <c r="I2009" s="338" t="s">
        <v>411</v>
      </c>
      <c r="J2009" s="339"/>
      <c r="K2009" s="339"/>
      <c r="L2009" s="339" t="s">
        <v>409</v>
      </c>
      <c r="M2009" s="339" t="s">
        <v>409</v>
      </c>
      <c r="N2009" s="338" t="s">
        <v>410</v>
      </c>
      <c r="O2009" s="338" t="s">
        <v>409</v>
      </c>
      <c r="P2009" s="338" t="s">
        <v>410</v>
      </c>
    </row>
    <row r="2010" spans="2:16" x14ac:dyDescent="0.25">
      <c r="B2010" s="336" t="s">
        <v>416</v>
      </c>
      <c r="C2010" s="337">
        <v>40288</v>
      </c>
      <c r="D2010" s="338" t="s">
        <v>956</v>
      </c>
      <c r="E2010" s="338" t="s">
        <v>5563</v>
      </c>
      <c r="F2010" s="338" t="s">
        <v>5562</v>
      </c>
      <c r="G2010" s="338" t="s">
        <v>413</v>
      </c>
      <c r="H2010" s="338" t="s">
        <v>336</v>
      </c>
      <c r="I2010" s="338" t="s">
        <v>411</v>
      </c>
      <c r="J2010" s="339"/>
      <c r="K2010" s="339"/>
      <c r="L2010" s="339"/>
      <c r="M2010" s="339"/>
      <c r="N2010" s="338"/>
      <c r="O2010" s="338" t="s">
        <v>408</v>
      </c>
      <c r="P2010" s="338" t="s">
        <v>410</v>
      </c>
    </row>
    <row r="2011" spans="2:16" x14ac:dyDescent="0.25">
      <c r="B2011" s="336" t="s">
        <v>416</v>
      </c>
      <c r="C2011" s="337">
        <v>40287</v>
      </c>
      <c r="D2011" s="338" t="s">
        <v>956</v>
      </c>
      <c r="E2011" s="338" t="s">
        <v>5561</v>
      </c>
      <c r="F2011" s="338" t="s">
        <v>5560</v>
      </c>
      <c r="G2011" s="338" t="s">
        <v>413</v>
      </c>
      <c r="H2011" s="338" t="s">
        <v>425</v>
      </c>
      <c r="I2011" s="338" t="s">
        <v>411</v>
      </c>
      <c r="J2011" s="339"/>
      <c r="K2011" s="339"/>
      <c r="L2011" s="339"/>
      <c r="M2011" s="339"/>
      <c r="N2011" s="338"/>
      <c r="O2011" s="338" t="s">
        <v>417</v>
      </c>
      <c r="P2011" s="338" t="s">
        <v>417</v>
      </c>
    </row>
    <row r="2012" spans="2:16" x14ac:dyDescent="0.25">
      <c r="B2012" s="336" t="s">
        <v>416</v>
      </c>
      <c r="C2012" s="337">
        <v>40287</v>
      </c>
      <c r="D2012" s="338" t="s">
        <v>5559</v>
      </c>
      <c r="E2012" s="338" t="s">
        <v>5558</v>
      </c>
      <c r="F2012" s="338"/>
      <c r="G2012" s="338" t="s">
        <v>413</v>
      </c>
      <c r="H2012" s="338" t="s">
        <v>425</v>
      </c>
      <c r="I2012" s="338" t="s">
        <v>411</v>
      </c>
      <c r="J2012" s="339"/>
      <c r="K2012" s="339"/>
      <c r="L2012" s="339" t="s">
        <v>409</v>
      </c>
      <c r="M2012" s="339" t="s">
        <v>409</v>
      </c>
      <c r="N2012" s="338" t="s">
        <v>410</v>
      </c>
      <c r="O2012" s="338" t="s">
        <v>409</v>
      </c>
      <c r="P2012" s="338" t="s">
        <v>410</v>
      </c>
    </row>
    <row r="2013" spans="2:16" x14ac:dyDescent="0.25">
      <c r="B2013" s="336" t="s">
        <v>416</v>
      </c>
      <c r="C2013" s="337">
        <v>40287</v>
      </c>
      <c r="D2013" s="338" t="s">
        <v>5557</v>
      </c>
      <c r="E2013" s="338" t="s">
        <v>5357</v>
      </c>
      <c r="F2013" s="338"/>
      <c r="G2013" s="338" t="s">
        <v>413</v>
      </c>
      <c r="H2013" s="338" t="s">
        <v>412</v>
      </c>
      <c r="I2013" s="338" t="s">
        <v>411</v>
      </c>
      <c r="J2013" s="339"/>
      <c r="K2013" s="339"/>
      <c r="L2013" s="339" t="s">
        <v>409</v>
      </c>
      <c r="M2013" s="339" t="s">
        <v>409</v>
      </c>
      <c r="N2013" s="338" t="s">
        <v>432</v>
      </c>
      <c r="O2013" s="338" t="s">
        <v>409</v>
      </c>
      <c r="P2013" s="338" t="s">
        <v>417</v>
      </c>
    </row>
    <row r="2014" spans="2:16" x14ac:dyDescent="0.25">
      <c r="B2014" s="336" t="s">
        <v>416</v>
      </c>
      <c r="C2014" s="337">
        <v>40284</v>
      </c>
      <c r="D2014" s="338" t="s">
        <v>5556</v>
      </c>
      <c r="E2014" s="338" t="s">
        <v>5555</v>
      </c>
      <c r="F2014" s="338"/>
      <c r="G2014" s="338">
        <v>37.92</v>
      </c>
      <c r="H2014" s="338" t="s">
        <v>425</v>
      </c>
      <c r="I2014" s="338" t="s">
        <v>411</v>
      </c>
      <c r="J2014" s="339"/>
      <c r="K2014" s="339"/>
      <c r="L2014" s="339" t="s">
        <v>409</v>
      </c>
      <c r="M2014" s="339" t="s">
        <v>409</v>
      </c>
      <c r="N2014" s="338"/>
      <c r="O2014" s="338" t="s">
        <v>409</v>
      </c>
      <c r="P2014" s="338" t="s">
        <v>417</v>
      </c>
    </row>
    <row r="2015" spans="2:16" x14ac:dyDescent="0.25">
      <c r="B2015" s="336" t="s">
        <v>416</v>
      </c>
      <c r="C2015" s="337">
        <v>40284</v>
      </c>
      <c r="D2015" s="338" t="s">
        <v>5554</v>
      </c>
      <c r="E2015" s="338" t="s">
        <v>1819</v>
      </c>
      <c r="F2015" s="338"/>
      <c r="G2015" s="338" t="s">
        <v>413</v>
      </c>
      <c r="H2015" s="338" t="s">
        <v>412</v>
      </c>
      <c r="I2015" s="338" t="s">
        <v>411</v>
      </c>
      <c r="J2015" s="339"/>
      <c r="K2015" s="339"/>
      <c r="L2015" s="339" t="s">
        <v>409</v>
      </c>
      <c r="M2015" s="339" t="s">
        <v>409</v>
      </c>
      <c r="N2015" s="338" t="s">
        <v>417</v>
      </c>
      <c r="O2015" s="338" t="s">
        <v>409</v>
      </c>
      <c r="P2015" s="338" t="s">
        <v>417</v>
      </c>
    </row>
    <row r="2016" spans="2:16" x14ac:dyDescent="0.25">
      <c r="B2016" s="336" t="s">
        <v>416</v>
      </c>
      <c r="C2016" s="337">
        <v>40282</v>
      </c>
      <c r="D2016" s="338" t="s">
        <v>5553</v>
      </c>
      <c r="E2016" s="338" t="s">
        <v>1733</v>
      </c>
      <c r="F2016" s="338"/>
      <c r="G2016" s="338" t="s">
        <v>413</v>
      </c>
      <c r="H2016" s="338" t="s">
        <v>425</v>
      </c>
      <c r="I2016" s="338" t="s">
        <v>411</v>
      </c>
      <c r="J2016" s="339"/>
      <c r="K2016" s="339"/>
      <c r="L2016" s="339" t="s">
        <v>409</v>
      </c>
      <c r="M2016" s="339" t="s">
        <v>409</v>
      </c>
      <c r="N2016" s="338"/>
      <c r="O2016" s="338" t="s">
        <v>409</v>
      </c>
      <c r="P2016" s="338" t="s">
        <v>443</v>
      </c>
    </row>
    <row r="2017" spans="2:16" x14ac:dyDescent="0.25">
      <c r="B2017" s="336" t="s">
        <v>416</v>
      </c>
      <c r="C2017" s="337">
        <v>40282</v>
      </c>
      <c r="D2017" s="338" t="s">
        <v>5552</v>
      </c>
      <c r="E2017" s="338" t="s">
        <v>730</v>
      </c>
      <c r="F2017" s="338"/>
      <c r="G2017" s="338" t="s">
        <v>413</v>
      </c>
      <c r="H2017" s="338" t="s">
        <v>412</v>
      </c>
      <c r="I2017" s="338" t="s">
        <v>411</v>
      </c>
      <c r="J2017" s="339"/>
      <c r="K2017" s="339"/>
      <c r="L2017" s="339" t="s">
        <v>409</v>
      </c>
      <c r="M2017" s="339" t="s">
        <v>409</v>
      </c>
      <c r="N2017" s="338" t="s">
        <v>417</v>
      </c>
      <c r="O2017" s="338" t="s">
        <v>409</v>
      </c>
      <c r="P2017" s="338" t="s">
        <v>417</v>
      </c>
    </row>
    <row r="2018" spans="2:16" x14ac:dyDescent="0.25">
      <c r="B2018" s="336" t="s">
        <v>416</v>
      </c>
      <c r="C2018" s="337">
        <v>40281</v>
      </c>
      <c r="D2018" s="338" t="s">
        <v>692</v>
      </c>
      <c r="E2018" s="338" t="s">
        <v>5551</v>
      </c>
      <c r="F2018" s="338"/>
      <c r="G2018" s="338" t="s">
        <v>413</v>
      </c>
      <c r="H2018" s="338" t="s">
        <v>425</v>
      </c>
      <c r="I2018" s="338" t="s">
        <v>411</v>
      </c>
      <c r="J2018" s="339"/>
      <c r="K2018" s="339"/>
      <c r="L2018" s="339" t="s">
        <v>409</v>
      </c>
      <c r="M2018" s="339" t="s">
        <v>409</v>
      </c>
      <c r="N2018" s="338"/>
      <c r="O2018" s="338" t="s">
        <v>409</v>
      </c>
      <c r="P2018" s="338" t="s">
        <v>443</v>
      </c>
    </row>
    <row r="2019" spans="2:16" x14ac:dyDescent="0.25">
      <c r="B2019" s="336" t="s">
        <v>416</v>
      </c>
      <c r="C2019" s="337">
        <v>40281</v>
      </c>
      <c r="D2019" s="338" t="s">
        <v>5430</v>
      </c>
      <c r="E2019" s="338" t="s">
        <v>514</v>
      </c>
      <c r="F2019" s="338"/>
      <c r="G2019" s="338" t="s">
        <v>413</v>
      </c>
      <c r="H2019" s="338" t="s">
        <v>412</v>
      </c>
      <c r="I2019" s="338" t="s">
        <v>411</v>
      </c>
      <c r="J2019" s="339"/>
      <c r="K2019" s="339"/>
      <c r="L2019" s="339" t="s">
        <v>409</v>
      </c>
      <c r="M2019" s="339" t="s">
        <v>409</v>
      </c>
      <c r="N2019" s="338" t="s">
        <v>417</v>
      </c>
      <c r="O2019" s="338" t="s">
        <v>409</v>
      </c>
      <c r="P2019" s="338"/>
    </row>
    <row r="2020" spans="2:16" x14ac:dyDescent="0.25">
      <c r="B2020" s="336" t="s">
        <v>416</v>
      </c>
      <c r="C2020" s="337">
        <v>40280</v>
      </c>
      <c r="D2020" s="338" t="s">
        <v>5550</v>
      </c>
      <c r="E2020" s="338" t="s">
        <v>5549</v>
      </c>
      <c r="F2020" s="338" t="s">
        <v>468</v>
      </c>
      <c r="G2020" s="338" t="s">
        <v>413</v>
      </c>
      <c r="H2020" s="338" t="s">
        <v>412</v>
      </c>
      <c r="I2020" s="338" t="s">
        <v>411</v>
      </c>
      <c r="J2020" s="339"/>
      <c r="K2020" s="339"/>
      <c r="L2020" s="339"/>
      <c r="M2020" s="339"/>
      <c r="N2020" s="338" t="s">
        <v>417</v>
      </c>
      <c r="O2020" s="338" t="s">
        <v>443</v>
      </c>
      <c r="P2020" s="338" t="s">
        <v>410</v>
      </c>
    </row>
    <row r="2021" spans="2:16" x14ac:dyDescent="0.25">
      <c r="B2021" s="336" t="s">
        <v>416</v>
      </c>
      <c r="C2021" s="337">
        <v>40280</v>
      </c>
      <c r="D2021" s="338" t="s">
        <v>5548</v>
      </c>
      <c r="E2021" s="338" t="s">
        <v>5547</v>
      </c>
      <c r="F2021" s="338"/>
      <c r="G2021" s="338">
        <v>26.1</v>
      </c>
      <c r="H2021" s="338" t="s">
        <v>336</v>
      </c>
      <c r="I2021" s="338" t="s">
        <v>411</v>
      </c>
      <c r="J2021" s="339"/>
      <c r="K2021" s="339"/>
      <c r="L2021" s="339" t="s">
        <v>409</v>
      </c>
      <c r="M2021" s="339" t="s">
        <v>409</v>
      </c>
      <c r="N2021" s="338" t="s">
        <v>417</v>
      </c>
      <c r="O2021" s="338" t="s">
        <v>409</v>
      </c>
      <c r="P2021" s="338" t="s">
        <v>432</v>
      </c>
    </row>
    <row r="2022" spans="2:16" x14ac:dyDescent="0.25">
      <c r="B2022" s="336" t="s">
        <v>416</v>
      </c>
      <c r="C2022" s="337">
        <v>40280</v>
      </c>
      <c r="D2022" s="338" t="s">
        <v>5546</v>
      </c>
      <c r="E2022" s="338" t="s">
        <v>463</v>
      </c>
      <c r="F2022" s="338"/>
      <c r="G2022" s="338" t="s">
        <v>413</v>
      </c>
      <c r="H2022" s="338" t="s">
        <v>425</v>
      </c>
      <c r="I2022" s="338" t="s">
        <v>411</v>
      </c>
      <c r="J2022" s="339"/>
      <c r="K2022" s="339"/>
      <c r="L2022" s="339" t="s">
        <v>409</v>
      </c>
      <c r="M2022" s="339" t="s">
        <v>409</v>
      </c>
      <c r="N2022" s="338"/>
      <c r="O2022" s="338" t="s">
        <v>409</v>
      </c>
      <c r="P2022" s="338" t="s">
        <v>417</v>
      </c>
    </row>
    <row r="2023" spans="2:16" x14ac:dyDescent="0.25">
      <c r="B2023" s="336" t="s">
        <v>416</v>
      </c>
      <c r="C2023" s="337">
        <v>40280</v>
      </c>
      <c r="D2023" s="338" t="s">
        <v>5545</v>
      </c>
      <c r="E2023" s="338" t="s">
        <v>453</v>
      </c>
      <c r="F2023" s="338"/>
      <c r="G2023" s="338" t="s">
        <v>413</v>
      </c>
      <c r="H2023" s="338" t="s">
        <v>425</v>
      </c>
      <c r="I2023" s="338" t="s">
        <v>411</v>
      </c>
      <c r="J2023" s="339"/>
      <c r="K2023" s="339"/>
      <c r="L2023" s="339" t="s">
        <v>409</v>
      </c>
      <c r="M2023" s="339" t="s">
        <v>409</v>
      </c>
      <c r="N2023" s="338" t="s">
        <v>417</v>
      </c>
      <c r="O2023" s="338" t="s">
        <v>409</v>
      </c>
      <c r="P2023" s="338" t="s">
        <v>443</v>
      </c>
    </row>
    <row r="2024" spans="2:16" x14ac:dyDescent="0.25">
      <c r="B2024" s="336" t="s">
        <v>416</v>
      </c>
      <c r="C2024" s="337">
        <v>40277</v>
      </c>
      <c r="D2024" s="338" t="s">
        <v>945</v>
      </c>
      <c r="E2024" s="338" t="s">
        <v>5544</v>
      </c>
      <c r="F2024" s="338" t="s">
        <v>5543</v>
      </c>
      <c r="G2024" s="338" t="s">
        <v>413</v>
      </c>
      <c r="H2024" s="338" t="s">
        <v>425</v>
      </c>
      <c r="I2024" s="338" t="s">
        <v>411</v>
      </c>
      <c r="J2024" s="339"/>
      <c r="K2024" s="339"/>
      <c r="L2024" s="339"/>
      <c r="M2024" s="339"/>
      <c r="N2024" s="338"/>
      <c r="O2024" s="338" t="s">
        <v>410</v>
      </c>
      <c r="P2024" s="338" t="s">
        <v>487</v>
      </c>
    </row>
    <row r="2025" spans="2:16" x14ac:dyDescent="0.25">
      <c r="B2025" s="336" t="s">
        <v>416</v>
      </c>
      <c r="C2025" s="337">
        <v>40276</v>
      </c>
      <c r="D2025" s="338" t="s">
        <v>5542</v>
      </c>
      <c r="E2025" s="338" t="s">
        <v>5541</v>
      </c>
      <c r="F2025" s="338"/>
      <c r="G2025" s="338" t="s">
        <v>413</v>
      </c>
      <c r="H2025" s="338" t="s">
        <v>412</v>
      </c>
      <c r="I2025" s="338" t="s">
        <v>411</v>
      </c>
      <c r="J2025" s="339"/>
      <c r="K2025" s="339"/>
      <c r="L2025" s="339" t="s">
        <v>409</v>
      </c>
      <c r="M2025" s="339" t="s">
        <v>409</v>
      </c>
      <c r="N2025" s="338" t="s">
        <v>487</v>
      </c>
      <c r="O2025" s="338" t="s">
        <v>409</v>
      </c>
      <c r="P2025" s="338" t="s">
        <v>417</v>
      </c>
    </row>
    <row r="2026" spans="2:16" x14ac:dyDescent="0.25">
      <c r="B2026" s="336" t="s">
        <v>416</v>
      </c>
      <c r="C2026" s="337">
        <v>40275</v>
      </c>
      <c r="D2026" s="338" t="s">
        <v>956</v>
      </c>
      <c r="E2026" s="338" t="s">
        <v>3857</v>
      </c>
      <c r="F2026" s="338" t="s">
        <v>5540</v>
      </c>
      <c r="G2026" s="338" t="s">
        <v>413</v>
      </c>
      <c r="H2026" s="338" t="s">
        <v>425</v>
      </c>
      <c r="I2026" s="338" t="s">
        <v>411</v>
      </c>
      <c r="J2026" s="339"/>
      <c r="K2026" s="339"/>
      <c r="L2026" s="339"/>
      <c r="M2026" s="339"/>
      <c r="N2026" s="338"/>
      <c r="O2026" s="338" t="s">
        <v>417</v>
      </c>
      <c r="P2026" s="338" t="s">
        <v>417</v>
      </c>
    </row>
    <row r="2027" spans="2:16" x14ac:dyDescent="0.25">
      <c r="B2027" s="336" t="s">
        <v>459</v>
      </c>
      <c r="C2027" s="337">
        <v>40275</v>
      </c>
      <c r="D2027" s="338" t="s">
        <v>5539</v>
      </c>
      <c r="E2027" s="338" t="s">
        <v>5538</v>
      </c>
      <c r="F2027" s="338"/>
      <c r="G2027" s="338">
        <v>10</v>
      </c>
      <c r="H2027" s="338" t="s">
        <v>425</v>
      </c>
      <c r="I2027" s="338" t="s">
        <v>411</v>
      </c>
      <c r="J2027" s="339"/>
      <c r="K2027" s="339"/>
      <c r="L2027" s="339" t="s">
        <v>409</v>
      </c>
      <c r="M2027" s="339" t="s">
        <v>409</v>
      </c>
      <c r="N2027" s="338" t="s">
        <v>417</v>
      </c>
      <c r="O2027" s="338" t="s">
        <v>409</v>
      </c>
      <c r="P2027" s="338" t="s">
        <v>443</v>
      </c>
    </row>
    <row r="2028" spans="2:16" x14ac:dyDescent="0.25">
      <c r="B2028" s="336" t="s">
        <v>416</v>
      </c>
      <c r="C2028" s="337">
        <v>40275</v>
      </c>
      <c r="D2028" s="338" t="s">
        <v>5537</v>
      </c>
      <c r="E2028" s="338" t="s">
        <v>5536</v>
      </c>
      <c r="F2028" s="338" t="s">
        <v>5535</v>
      </c>
      <c r="G2028" s="338" t="s">
        <v>413</v>
      </c>
      <c r="H2028" s="338" t="s">
        <v>425</v>
      </c>
      <c r="I2028" s="338" t="s">
        <v>411</v>
      </c>
      <c r="J2028" s="339">
        <v>0.57167299999999999</v>
      </c>
      <c r="K2028" s="339">
        <v>2.2694200000000002</v>
      </c>
      <c r="L2028" s="339"/>
      <c r="M2028" s="339"/>
      <c r="N2028" s="338" t="s">
        <v>417</v>
      </c>
      <c r="O2028" s="338" t="s">
        <v>605</v>
      </c>
      <c r="P2028" s="338" t="s">
        <v>432</v>
      </c>
    </row>
    <row r="2029" spans="2:16" x14ac:dyDescent="0.25">
      <c r="B2029" s="336" t="s">
        <v>416</v>
      </c>
      <c r="C2029" s="337">
        <v>40274</v>
      </c>
      <c r="D2029" s="338" t="s">
        <v>5534</v>
      </c>
      <c r="E2029" s="338" t="s">
        <v>5533</v>
      </c>
      <c r="F2029" s="338"/>
      <c r="G2029" s="338" t="s">
        <v>413</v>
      </c>
      <c r="H2029" s="338" t="s">
        <v>425</v>
      </c>
      <c r="I2029" s="338" t="s">
        <v>411</v>
      </c>
      <c r="J2029" s="339"/>
      <c r="K2029" s="339"/>
      <c r="L2029" s="339" t="s">
        <v>409</v>
      </c>
      <c r="M2029" s="339" t="s">
        <v>409</v>
      </c>
      <c r="N2029" s="338" t="s">
        <v>417</v>
      </c>
      <c r="O2029" s="338" t="s">
        <v>409</v>
      </c>
      <c r="P2029" s="338" t="s">
        <v>443</v>
      </c>
    </row>
    <row r="2030" spans="2:16" x14ac:dyDescent="0.25">
      <c r="B2030" s="336" t="s">
        <v>1441</v>
      </c>
      <c r="C2030" s="337">
        <v>40274</v>
      </c>
      <c r="D2030" s="338" t="s">
        <v>5532</v>
      </c>
      <c r="E2030" s="338" t="s">
        <v>1203</v>
      </c>
      <c r="F2030" s="338"/>
      <c r="G2030" s="338" t="s">
        <v>413</v>
      </c>
      <c r="H2030" s="338" t="s">
        <v>412</v>
      </c>
      <c r="I2030" s="338" t="s">
        <v>411</v>
      </c>
      <c r="J2030" s="339"/>
      <c r="K2030" s="339"/>
      <c r="L2030" s="339" t="s">
        <v>409</v>
      </c>
      <c r="M2030" s="339" t="s">
        <v>409</v>
      </c>
      <c r="N2030" s="338" t="s">
        <v>443</v>
      </c>
      <c r="O2030" s="338" t="s">
        <v>409</v>
      </c>
      <c r="P2030" s="338" t="s">
        <v>417</v>
      </c>
    </row>
    <row r="2031" spans="2:16" x14ac:dyDescent="0.25">
      <c r="B2031" s="336" t="s">
        <v>416</v>
      </c>
      <c r="C2031" s="337">
        <v>40273</v>
      </c>
      <c r="D2031" s="338" t="s">
        <v>5531</v>
      </c>
      <c r="E2031" s="338" t="s">
        <v>1140</v>
      </c>
      <c r="F2031" s="338" t="s">
        <v>3868</v>
      </c>
      <c r="G2031" s="338">
        <v>80</v>
      </c>
      <c r="H2031" s="338" t="s">
        <v>425</v>
      </c>
      <c r="I2031" s="338" t="s">
        <v>411</v>
      </c>
      <c r="J2031" s="339"/>
      <c r="K2031" s="339"/>
      <c r="L2031" s="339">
        <v>4.6306000000000003</v>
      </c>
      <c r="M2031" s="339">
        <v>14.1675</v>
      </c>
      <c r="N2031" s="338"/>
      <c r="O2031" s="338" t="s">
        <v>417</v>
      </c>
      <c r="P2031" s="338" t="s">
        <v>417</v>
      </c>
    </row>
    <row r="2032" spans="2:16" x14ac:dyDescent="0.25">
      <c r="B2032" s="336" t="s">
        <v>416</v>
      </c>
      <c r="C2032" s="337">
        <v>40273</v>
      </c>
      <c r="D2032" s="338" t="s">
        <v>5530</v>
      </c>
      <c r="E2032" s="338" t="s">
        <v>5529</v>
      </c>
      <c r="F2032" s="338"/>
      <c r="G2032" s="338" t="s">
        <v>413</v>
      </c>
      <c r="H2032" s="338" t="s">
        <v>425</v>
      </c>
      <c r="I2032" s="338" t="s">
        <v>411</v>
      </c>
      <c r="J2032" s="339">
        <v>0.23328199999999999</v>
      </c>
      <c r="K2032" s="339">
        <v>5.86233</v>
      </c>
      <c r="L2032" s="339" t="s">
        <v>409</v>
      </c>
      <c r="M2032" s="339" t="s">
        <v>409</v>
      </c>
      <c r="N2032" s="338" t="s">
        <v>417</v>
      </c>
      <c r="O2032" s="338" t="s">
        <v>409</v>
      </c>
      <c r="P2032" s="338" t="s">
        <v>487</v>
      </c>
    </row>
    <row r="2033" spans="2:16" x14ac:dyDescent="0.25">
      <c r="B2033" s="336" t="s">
        <v>416</v>
      </c>
      <c r="C2033" s="337">
        <v>40271</v>
      </c>
      <c r="D2033" s="338" t="s">
        <v>5528</v>
      </c>
      <c r="E2033" s="338" t="s">
        <v>3194</v>
      </c>
      <c r="F2033" s="338" t="s">
        <v>5527</v>
      </c>
      <c r="G2033" s="338" t="s">
        <v>413</v>
      </c>
      <c r="H2033" s="338" t="s">
        <v>412</v>
      </c>
      <c r="I2033" s="338" t="s">
        <v>411</v>
      </c>
      <c r="J2033" s="339"/>
      <c r="K2033" s="339"/>
      <c r="L2033" s="339">
        <v>0.97857700000000003</v>
      </c>
      <c r="M2033" s="339">
        <v>4.5826000000000002</v>
      </c>
      <c r="N2033" s="338" t="s">
        <v>432</v>
      </c>
      <c r="O2033" s="338" t="s">
        <v>487</v>
      </c>
      <c r="P2033" s="338" t="s">
        <v>417</v>
      </c>
    </row>
    <row r="2034" spans="2:16" x14ac:dyDescent="0.25">
      <c r="B2034" s="336" t="s">
        <v>416</v>
      </c>
      <c r="C2034" s="337">
        <v>40269</v>
      </c>
      <c r="D2034" s="338" t="s">
        <v>5526</v>
      </c>
      <c r="E2034" s="338" t="s">
        <v>5525</v>
      </c>
      <c r="F2034" s="338"/>
      <c r="G2034" s="338" t="s">
        <v>413</v>
      </c>
      <c r="H2034" s="338" t="s">
        <v>412</v>
      </c>
      <c r="I2034" s="338" t="s">
        <v>411</v>
      </c>
      <c r="J2034" s="339"/>
      <c r="K2034" s="339"/>
      <c r="L2034" s="339" t="s">
        <v>409</v>
      </c>
      <c r="M2034" s="339" t="s">
        <v>409</v>
      </c>
      <c r="N2034" s="338" t="s">
        <v>417</v>
      </c>
      <c r="O2034" s="338" t="s">
        <v>409</v>
      </c>
      <c r="P2034" s="338" t="s">
        <v>410</v>
      </c>
    </row>
    <row r="2035" spans="2:16" x14ac:dyDescent="0.25">
      <c r="B2035" s="336" t="s">
        <v>416</v>
      </c>
      <c r="C2035" s="337">
        <v>40269</v>
      </c>
      <c r="D2035" s="338" t="s">
        <v>5524</v>
      </c>
      <c r="E2035" s="338" t="s">
        <v>3565</v>
      </c>
      <c r="F2035" s="338" t="s">
        <v>5523</v>
      </c>
      <c r="G2035" s="338" t="s">
        <v>413</v>
      </c>
      <c r="H2035" s="338" t="s">
        <v>425</v>
      </c>
      <c r="I2035" s="338" t="s">
        <v>411</v>
      </c>
      <c r="J2035" s="339"/>
      <c r="K2035" s="339"/>
      <c r="L2035" s="339"/>
      <c r="M2035" s="339"/>
      <c r="N2035" s="338" t="s">
        <v>417</v>
      </c>
      <c r="O2035" s="338" t="s">
        <v>443</v>
      </c>
      <c r="P2035" s="338" t="s">
        <v>443</v>
      </c>
    </row>
    <row r="2036" spans="2:16" x14ac:dyDescent="0.25">
      <c r="B2036" s="336" t="s">
        <v>459</v>
      </c>
      <c r="C2036" s="337">
        <v>40269</v>
      </c>
      <c r="D2036" s="338" t="s">
        <v>5522</v>
      </c>
      <c r="E2036" s="338" t="s">
        <v>1319</v>
      </c>
      <c r="F2036" s="338"/>
      <c r="G2036" s="338" t="s">
        <v>413</v>
      </c>
      <c r="H2036" s="338" t="s">
        <v>412</v>
      </c>
      <c r="I2036" s="338" t="s">
        <v>411</v>
      </c>
      <c r="J2036" s="339"/>
      <c r="K2036" s="339"/>
      <c r="L2036" s="339" t="s">
        <v>409</v>
      </c>
      <c r="M2036" s="339" t="s">
        <v>409</v>
      </c>
      <c r="N2036" s="338" t="s">
        <v>410</v>
      </c>
      <c r="O2036" s="338" t="s">
        <v>409</v>
      </c>
      <c r="P2036" s="338" t="s">
        <v>417</v>
      </c>
    </row>
    <row r="2037" spans="2:16" x14ac:dyDescent="0.25">
      <c r="B2037" s="336" t="s">
        <v>459</v>
      </c>
      <c r="C2037" s="337">
        <v>40269</v>
      </c>
      <c r="D2037" s="338" t="s">
        <v>5521</v>
      </c>
      <c r="E2037" s="338" t="s">
        <v>5520</v>
      </c>
      <c r="F2037" s="338"/>
      <c r="G2037" s="338">
        <v>319</v>
      </c>
      <c r="H2037" s="338" t="s">
        <v>425</v>
      </c>
      <c r="I2037" s="338" t="s">
        <v>411</v>
      </c>
      <c r="J2037" s="339"/>
      <c r="K2037" s="339"/>
      <c r="L2037" s="339" t="s">
        <v>409</v>
      </c>
      <c r="M2037" s="339" t="s">
        <v>409</v>
      </c>
      <c r="N2037" s="338" t="s">
        <v>410</v>
      </c>
      <c r="O2037" s="338" t="s">
        <v>409</v>
      </c>
      <c r="P2037" s="338"/>
    </row>
    <row r="2038" spans="2:16" x14ac:dyDescent="0.25">
      <c r="B2038" s="336" t="s">
        <v>416</v>
      </c>
      <c r="C2038" s="337">
        <v>40268</v>
      </c>
      <c r="D2038" s="338" t="s">
        <v>5519</v>
      </c>
      <c r="E2038" s="338" t="s">
        <v>5518</v>
      </c>
      <c r="F2038" s="338"/>
      <c r="G2038" s="338">
        <v>15.19</v>
      </c>
      <c r="H2038" s="338" t="s">
        <v>425</v>
      </c>
      <c r="I2038" s="338" t="s">
        <v>411</v>
      </c>
      <c r="J2038" s="339"/>
      <c r="K2038" s="339"/>
      <c r="L2038" s="339" t="s">
        <v>409</v>
      </c>
      <c r="M2038" s="339" t="s">
        <v>409</v>
      </c>
      <c r="N2038" s="338" t="s">
        <v>417</v>
      </c>
      <c r="O2038" s="338" t="s">
        <v>409</v>
      </c>
      <c r="P2038" s="338" t="s">
        <v>443</v>
      </c>
    </row>
    <row r="2039" spans="2:16" x14ac:dyDescent="0.25">
      <c r="B2039" s="336" t="s">
        <v>416</v>
      </c>
      <c r="C2039" s="337">
        <v>40266</v>
      </c>
      <c r="D2039" s="338" t="s">
        <v>956</v>
      </c>
      <c r="E2039" s="338" t="s">
        <v>477</v>
      </c>
      <c r="F2039" s="338" t="s">
        <v>5517</v>
      </c>
      <c r="G2039" s="338">
        <v>38.700000000000003</v>
      </c>
      <c r="H2039" s="338" t="s">
        <v>425</v>
      </c>
      <c r="I2039" s="338" t="s">
        <v>411</v>
      </c>
      <c r="J2039" s="339"/>
      <c r="K2039" s="339"/>
      <c r="L2039" s="339"/>
      <c r="M2039" s="339"/>
      <c r="N2039" s="338"/>
      <c r="O2039" s="338" t="s">
        <v>487</v>
      </c>
      <c r="P2039" s="338" t="s">
        <v>417</v>
      </c>
    </row>
    <row r="2040" spans="2:16" x14ac:dyDescent="0.25">
      <c r="B2040" s="336" t="s">
        <v>416</v>
      </c>
      <c r="C2040" s="337">
        <v>40266</v>
      </c>
      <c r="D2040" s="338" t="s">
        <v>5516</v>
      </c>
      <c r="E2040" s="338" t="s">
        <v>2007</v>
      </c>
      <c r="F2040" s="338"/>
      <c r="G2040" s="338">
        <v>1.8</v>
      </c>
      <c r="H2040" s="338" t="s">
        <v>425</v>
      </c>
      <c r="I2040" s="338" t="s">
        <v>411</v>
      </c>
      <c r="J2040" s="339"/>
      <c r="K2040" s="339"/>
      <c r="L2040" s="339" t="s">
        <v>409</v>
      </c>
      <c r="M2040" s="339" t="s">
        <v>409</v>
      </c>
      <c r="N2040" s="338" t="s">
        <v>417</v>
      </c>
      <c r="O2040" s="338" t="s">
        <v>409</v>
      </c>
      <c r="P2040" s="338" t="s">
        <v>417</v>
      </c>
    </row>
    <row r="2041" spans="2:16" x14ac:dyDescent="0.25">
      <c r="B2041" s="336" t="s">
        <v>416</v>
      </c>
      <c r="C2041" s="337">
        <v>40266</v>
      </c>
      <c r="D2041" s="338" t="s">
        <v>5515</v>
      </c>
      <c r="E2041" s="338" t="s">
        <v>5514</v>
      </c>
      <c r="F2041" s="338" t="s">
        <v>2012</v>
      </c>
      <c r="G2041" s="338" t="s">
        <v>413</v>
      </c>
      <c r="H2041" s="338" t="s">
        <v>425</v>
      </c>
      <c r="I2041" s="338" t="s">
        <v>411</v>
      </c>
      <c r="J2041" s="339"/>
      <c r="K2041" s="339"/>
      <c r="L2041" s="339">
        <v>0.26979999999999998</v>
      </c>
      <c r="M2041" s="339"/>
      <c r="N2041" s="338"/>
      <c r="O2041" s="338" t="s">
        <v>410</v>
      </c>
      <c r="P2041" s="338" t="s">
        <v>410</v>
      </c>
    </row>
    <row r="2042" spans="2:16" x14ac:dyDescent="0.25">
      <c r="B2042" s="336" t="s">
        <v>416</v>
      </c>
      <c r="C2042" s="337">
        <v>40263</v>
      </c>
      <c r="D2042" s="338" t="s">
        <v>5513</v>
      </c>
      <c r="E2042" s="338" t="s">
        <v>5512</v>
      </c>
      <c r="F2042" s="338"/>
      <c r="G2042" s="338" t="s">
        <v>413</v>
      </c>
      <c r="H2042" s="338" t="s">
        <v>412</v>
      </c>
      <c r="I2042" s="338" t="s">
        <v>411</v>
      </c>
      <c r="J2042" s="339"/>
      <c r="K2042" s="339"/>
      <c r="L2042" s="339" t="s">
        <v>409</v>
      </c>
      <c r="M2042" s="339" t="s">
        <v>409</v>
      </c>
      <c r="N2042" s="338" t="s">
        <v>417</v>
      </c>
      <c r="O2042" s="338" t="s">
        <v>409</v>
      </c>
      <c r="P2042" s="338" t="s">
        <v>417</v>
      </c>
    </row>
    <row r="2043" spans="2:16" x14ac:dyDescent="0.25">
      <c r="B2043" s="336" t="s">
        <v>416</v>
      </c>
      <c r="C2043" s="337">
        <v>40263</v>
      </c>
      <c r="D2043" s="338" t="s">
        <v>5511</v>
      </c>
      <c r="E2043" s="338" t="s">
        <v>4486</v>
      </c>
      <c r="F2043" s="338"/>
      <c r="G2043" s="338" t="s">
        <v>413</v>
      </c>
      <c r="H2043" s="338" t="s">
        <v>412</v>
      </c>
      <c r="I2043" s="338" t="s">
        <v>411</v>
      </c>
      <c r="J2043" s="339"/>
      <c r="K2043" s="339"/>
      <c r="L2043" s="339" t="s">
        <v>409</v>
      </c>
      <c r="M2043" s="339" t="s">
        <v>409</v>
      </c>
      <c r="N2043" s="338" t="s">
        <v>417</v>
      </c>
      <c r="O2043" s="338" t="s">
        <v>409</v>
      </c>
      <c r="P2043" s="338" t="s">
        <v>432</v>
      </c>
    </row>
    <row r="2044" spans="2:16" x14ac:dyDescent="0.25">
      <c r="B2044" s="336" t="s">
        <v>416</v>
      </c>
      <c r="C2044" s="337">
        <v>40263</v>
      </c>
      <c r="D2044" s="338" t="s">
        <v>5510</v>
      </c>
      <c r="E2044" s="338" t="s">
        <v>5509</v>
      </c>
      <c r="F2044" s="338"/>
      <c r="G2044" s="338" t="s">
        <v>413</v>
      </c>
      <c r="H2044" s="338" t="s">
        <v>412</v>
      </c>
      <c r="I2044" s="338" t="s">
        <v>411</v>
      </c>
      <c r="J2044" s="339"/>
      <c r="K2044" s="339"/>
      <c r="L2044" s="339" t="s">
        <v>409</v>
      </c>
      <c r="M2044" s="339" t="s">
        <v>409</v>
      </c>
      <c r="N2044" s="338" t="s">
        <v>410</v>
      </c>
      <c r="O2044" s="338" t="s">
        <v>409</v>
      </c>
      <c r="P2044" s="338" t="s">
        <v>417</v>
      </c>
    </row>
    <row r="2045" spans="2:16" x14ac:dyDescent="0.25">
      <c r="B2045" s="336" t="s">
        <v>459</v>
      </c>
      <c r="C2045" s="337">
        <v>40263</v>
      </c>
      <c r="D2045" s="338" t="s">
        <v>4295</v>
      </c>
      <c r="E2045" s="338" t="s">
        <v>5247</v>
      </c>
      <c r="F2045" s="338"/>
      <c r="G2045" s="338">
        <v>27.2</v>
      </c>
      <c r="H2045" s="338" t="s">
        <v>425</v>
      </c>
      <c r="I2045" s="338" t="s">
        <v>411</v>
      </c>
      <c r="J2045" s="339">
        <v>0.95572900000000005</v>
      </c>
      <c r="K2045" s="339">
        <v>7.7199400000000002</v>
      </c>
      <c r="L2045" s="339" t="s">
        <v>409</v>
      </c>
      <c r="M2045" s="339" t="s">
        <v>409</v>
      </c>
      <c r="N2045" s="338" t="s">
        <v>417</v>
      </c>
      <c r="O2045" s="338" t="s">
        <v>409</v>
      </c>
      <c r="P2045" s="338" t="s">
        <v>417</v>
      </c>
    </row>
    <row r="2046" spans="2:16" x14ac:dyDescent="0.25">
      <c r="B2046" s="336" t="s">
        <v>416</v>
      </c>
      <c r="C2046" s="337">
        <v>40262</v>
      </c>
      <c r="D2046" s="338" t="s">
        <v>5508</v>
      </c>
      <c r="E2046" s="338" t="s">
        <v>1733</v>
      </c>
      <c r="F2046" s="338" t="s">
        <v>1476</v>
      </c>
      <c r="G2046" s="338">
        <v>180</v>
      </c>
      <c r="H2046" s="338" t="s">
        <v>425</v>
      </c>
      <c r="I2046" s="338" t="s">
        <v>411</v>
      </c>
      <c r="J2046" s="339"/>
      <c r="K2046" s="339"/>
      <c r="L2046" s="339">
        <v>1.35023</v>
      </c>
      <c r="M2046" s="339">
        <v>9.3802500000000002</v>
      </c>
      <c r="N2046" s="338" t="s">
        <v>417</v>
      </c>
      <c r="O2046" s="338" t="s">
        <v>417</v>
      </c>
      <c r="P2046" s="338" t="s">
        <v>443</v>
      </c>
    </row>
    <row r="2047" spans="2:16" x14ac:dyDescent="0.25">
      <c r="B2047" s="336" t="s">
        <v>416</v>
      </c>
      <c r="C2047" s="337">
        <v>40260</v>
      </c>
      <c r="D2047" s="338" t="s">
        <v>5507</v>
      </c>
      <c r="E2047" s="338" t="s">
        <v>4642</v>
      </c>
      <c r="F2047" s="338"/>
      <c r="G2047" s="338" t="s">
        <v>413</v>
      </c>
      <c r="H2047" s="338" t="s">
        <v>412</v>
      </c>
      <c r="I2047" s="338" t="s">
        <v>411</v>
      </c>
      <c r="J2047" s="339"/>
      <c r="K2047" s="339"/>
      <c r="L2047" s="339" t="s">
        <v>409</v>
      </c>
      <c r="M2047" s="339" t="s">
        <v>409</v>
      </c>
      <c r="N2047" s="338" t="s">
        <v>410</v>
      </c>
      <c r="O2047" s="338" t="s">
        <v>409</v>
      </c>
      <c r="P2047" s="338" t="s">
        <v>410</v>
      </c>
    </row>
    <row r="2048" spans="2:16" x14ac:dyDescent="0.25">
      <c r="B2048" s="336" t="s">
        <v>416</v>
      </c>
      <c r="C2048" s="337">
        <v>40260</v>
      </c>
      <c r="D2048" s="338" t="s">
        <v>5506</v>
      </c>
      <c r="E2048" s="338" t="s">
        <v>1484</v>
      </c>
      <c r="F2048" s="338" t="s">
        <v>1712</v>
      </c>
      <c r="G2048" s="338">
        <v>113</v>
      </c>
      <c r="H2048" s="338" t="s">
        <v>425</v>
      </c>
      <c r="I2048" s="338" t="s">
        <v>411</v>
      </c>
      <c r="J2048" s="339"/>
      <c r="K2048" s="339"/>
      <c r="L2048" s="339">
        <v>0.69886999999999999</v>
      </c>
      <c r="M2048" s="339"/>
      <c r="N2048" s="338" t="s">
        <v>417</v>
      </c>
      <c r="O2048" s="338" t="s">
        <v>417</v>
      </c>
      <c r="P2048" s="338" t="s">
        <v>443</v>
      </c>
    </row>
    <row r="2049" spans="2:16" x14ac:dyDescent="0.25">
      <c r="B2049" s="336" t="s">
        <v>416</v>
      </c>
      <c r="C2049" s="337">
        <v>40260</v>
      </c>
      <c r="D2049" s="338" t="s">
        <v>5505</v>
      </c>
      <c r="E2049" s="338" t="s">
        <v>1959</v>
      </c>
      <c r="F2049" s="338" t="s">
        <v>5504</v>
      </c>
      <c r="G2049" s="338" t="s">
        <v>413</v>
      </c>
      <c r="H2049" s="338" t="s">
        <v>425</v>
      </c>
      <c r="I2049" s="338" t="s">
        <v>411</v>
      </c>
      <c r="J2049" s="339"/>
      <c r="K2049" s="339"/>
      <c r="L2049" s="339"/>
      <c r="M2049" s="339"/>
      <c r="N2049" s="338" t="s">
        <v>417</v>
      </c>
      <c r="O2049" s="338" t="s">
        <v>443</v>
      </c>
      <c r="P2049" s="338" t="s">
        <v>443</v>
      </c>
    </row>
    <row r="2050" spans="2:16" x14ac:dyDescent="0.25">
      <c r="B2050" s="336" t="s">
        <v>416</v>
      </c>
      <c r="C2050" s="337">
        <v>40255</v>
      </c>
      <c r="D2050" s="338" t="s">
        <v>5503</v>
      </c>
      <c r="E2050" s="338" t="s">
        <v>1619</v>
      </c>
      <c r="F2050" s="338" t="s">
        <v>5502</v>
      </c>
      <c r="G2050" s="338" t="s">
        <v>413</v>
      </c>
      <c r="H2050" s="338" t="s">
        <v>425</v>
      </c>
      <c r="I2050" s="338" t="s">
        <v>411</v>
      </c>
      <c r="J2050" s="339"/>
      <c r="K2050" s="339"/>
      <c r="L2050" s="339"/>
      <c r="M2050" s="339"/>
      <c r="N2050" s="338"/>
      <c r="O2050" s="338" t="s">
        <v>410</v>
      </c>
      <c r="P2050" s="338" t="s">
        <v>417</v>
      </c>
    </row>
    <row r="2051" spans="2:16" x14ac:dyDescent="0.25">
      <c r="B2051" s="336" t="s">
        <v>416</v>
      </c>
      <c r="C2051" s="337">
        <v>40255</v>
      </c>
      <c r="D2051" s="338" t="s">
        <v>5501</v>
      </c>
      <c r="E2051" s="338" t="s">
        <v>5500</v>
      </c>
      <c r="F2051" s="338" t="s">
        <v>5499</v>
      </c>
      <c r="G2051" s="338">
        <v>0.65</v>
      </c>
      <c r="H2051" s="338" t="s">
        <v>425</v>
      </c>
      <c r="I2051" s="338" t="s">
        <v>411</v>
      </c>
      <c r="J2051" s="339"/>
      <c r="K2051" s="339"/>
      <c r="L2051" s="339">
        <v>1.1800600000000001</v>
      </c>
      <c r="M2051" s="339"/>
      <c r="N2051" s="338"/>
      <c r="O2051" s="338" t="s">
        <v>410</v>
      </c>
      <c r="P2051" s="338" t="s">
        <v>487</v>
      </c>
    </row>
    <row r="2052" spans="2:16" x14ac:dyDescent="0.25">
      <c r="B2052" s="336" t="s">
        <v>416</v>
      </c>
      <c r="C2052" s="337">
        <v>40255</v>
      </c>
      <c r="D2052" s="338" t="s">
        <v>5498</v>
      </c>
      <c r="E2052" s="338" t="s">
        <v>479</v>
      </c>
      <c r="F2052" s="338"/>
      <c r="G2052" s="338" t="s">
        <v>413</v>
      </c>
      <c r="H2052" s="338" t="s">
        <v>412</v>
      </c>
      <c r="I2052" s="338" t="s">
        <v>411</v>
      </c>
      <c r="J2052" s="339"/>
      <c r="K2052" s="339"/>
      <c r="L2052" s="339" t="s">
        <v>409</v>
      </c>
      <c r="M2052" s="339" t="s">
        <v>409</v>
      </c>
      <c r="N2052" s="338" t="s">
        <v>417</v>
      </c>
      <c r="O2052" s="338" t="s">
        <v>409</v>
      </c>
      <c r="P2052" s="338" t="s">
        <v>443</v>
      </c>
    </row>
    <row r="2053" spans="2:16" x14ac:dyDescent="0.25">
      <c r="B2053" s="336" t="s">
        <v>416</v>
      </c>
      <c r="C2053" s="337">
        <v>40255</v>
      </c>
      <c r="D2053" s="338" t="s">
        <v>5497</v>
      </c>
      <c r="E2053" s="338" t="s">
        <v>514</v>
      </c>
      <c r="F2053" s="338"/>
      <c r="G2053" s="338" t="s">
        <v>413</v>
      </c>
      <c r="H2053" s="338" t="s">
        <v>412</v>
      </c>
      <c r="I2053" s="338" t="s">
        <v>411</v>
      </c>
      <c r="J2053" s="339"/>
      <c r="K2053" s="339"/>
      <c r="L2053" s="339" t="s">
        <v>409</v>
      </c>
      <c r="M2053" s="339" t="s">
        <v>409</v>
      </c>
      <c r="N2053" s="338" t="s">
        <v>417</v>
      </c>
      <c r="O2053" s="338" t="s">
        <v>409</v>
      </c>
      <c r="P2053" s="338"/>
    </row>
    <row r="2054" spans="2:16" x14ac:dyDescent="0.25">
      <c r="B2054" s="336" t="s">
        <v>416</v>
      </c>
      <c r="C2054" s="337">
        <v>40254</v>
      </c>
      <c r="D2054" s="338" t="s">
        <v>5496</v>
      </c>
      <c r="E2054" s="338" t="s">
        <v>5495</v>
      </c>
      <c r="F2054" s="338"/>
      <c r="G2054" s="338" t="s">
        <v>413</v>
      </c>
      <c r="H2054" s="338" t="s">
        <v>336</v>
      </c>
      <c r="I2054" s="338" t="s">
        <v>411</v>
      </c>
      <c r="J2054" s="339"/>
      <c r="K2054" s="339"/>
      <c r="L2054" s="339" t="s">
        <v>409</v>
      </c>
      <c r="M2054" s="339" t="s">
        <v>409</v>
      </c>
      <c r="N2054" s="338" t="s">
        <v>417</v>
      </c>
      <c r="O2054" s="338" t="s">
        <v>409</v>
      </c>
      <c r="P2054" s="338" t="s">
        <v>417</v>
      </c>
    </row>
    <row r="2055" spans="2:16" x14ac:dyDescent="0.25">
      <c r="B2055" s="336" t="s">
        <v>416</v>
      </c>
      <c r="C2055" s="337">
        <v>40253</v>
      </c>
      <c r="D2055" s="338" t="s">
        <v>5494</v>
      </c>
      <c r="E2055" s="338" t="s">
        <v>1038</v>
      </c>
      <c r="F2055" s="338"/>
      <c r="G2055" s="338" t="s">
        <v>413</v>
      </c>
      <c r="H2055" s="338" t="s">
        <v>412</v>
      </c>
      <c r="I2055" s="338" t="s">
        <v>411</v>
      </c>
      <c r="J2055" s="339"/>
      <c r="K2055" s="339"/>
      <c r="L2055" s="339" t="s">
        <v>409</v>
      </c>
      <c r="M2055" s="339" t="s">
        <v>409</v>
      </c>
      <c r="N2055" s="338" t="s">
        <v>432</v>
      </c>
      <c r="O2055" s="338" t="s">
        <v>409</v>
      </c>
      <c r="P2055" s="338" t="s">
        <v>417</v>
      </c>
    </row>
    <row r="2056" spans="2:16" x14ac:dyDescent="0.25">
      <c r="B2056" s="336" t="s">
        <v>416</v>
      </c>
      <c r="C2056" s="337">
        <v>40253</v>
      </c>
      <c r="D2056" s="338" t="s">
        <v>2265</v>
      </c>
      <c r="E2056" s="338" t="s">
        <v>5493</v>
      </c>
      <c r="F2056" s="338"/>
      <c r="G2056" s="338">
        <v>3.11</v>
      </c>
      <c r="H2056" s="338" t="s">
        <v>425</v>
      </c>
      <c r="I2056" s="338" t="s">
        <v>411</v>
      </c>
      <c r="J2056" s="339">
        <v>0.20946400000000001</v>
      </c>
      <c r="K2056" s="339"/>
      <c r="L2056" s="339" t="s">
        <v>409</v>
      </c>
      <c r="M2056" s="339" t="s">
        <v>409</v>
      </c>
      <c r="N2056" s="338" t="s">
        <v>417</v>
      </c>
      <c r="O2056" s="338" t="s">
        <v>409</v>
      </c>
      <c r="P2056" s="338" t="s">
        <v>443</v>
      </c>
    </row>
    <row r="2057" spans="2:16" x14ac:dyDescent="0.25">
      <c r="B2057" s="336" t="s">
        <v>416</v>
      </c>
      <c r="C2057" s="337">
        <v>40252</v>
      </c>
      <c r="D2057" s="338" t="s">
        <v>956</v>
      </c>
      <c r="E2057" s="338" t="s">
        <v>5492</v>
      </c>
      <c r="F2057" s="338" t="s">
        <v>1428</v>
      </c>
      <c r="G2057" s="338" t="s">
        <v>413</v>
      </c>
      <c r="H2057" s="338" t="s">
        <v>425</v>
      </c>
      <c r="I2057" s="338" t="s">
        <v>411</v>
      </c>
      <c r="J2057" s="339"/>
      <c r="K2057" s="339"/>
      <c r="L2057" s="339">
        <v>4.4844499999999998</v>
      </c>
      <c r="M2057" s="339"/>
      <c r="N2057" s="338"/>
      <c r="O2057" s="338" t="s">
        <v>410</v>
      </c>
      <c r="P2057" s="338" t="s">
        <v>417</v>
      </c>
    </row>
    <row r="2058" spans="2:16" x14ac:dyDescent="0.25">
      <c r="B2058" s="336" t="s">
        <v>416</v>
      </c>
      <c r="C2058" s="337">
        <v>40252</v>
      </c>
      <c r="D2058" s="338" t="s">
        <v>714</v>
      </c>
      <c r="E2058" s="338" t="s">
        <v>3473</v>
      </c>
      <c r="F2058" s="338"/>
      <c r="G2058" s="338">
        <v>173.91</v>
      </c>
      <c r="H2058" s="338" t="s">
        <v>425</v>
      </c>
      <c r="I2058" s="338" t="s">
        <v>411</v>
      </c>
      <c r="J2058" s="339">
        <v>0.65483000000000002</v>
      </c>
      <c r="K2058" s="339">
        <v>7.1418200000000001</v>
      </c>
      <c r="L2058" s="339" t="s">
        <v>409</v>
      </c>
      <c r="M2058" s="339" t="s">
        <v>409</v>
      </c>
      <c r="N2058" s="338" t="s">
        <v>417</v>
      </c>
      <c r="O2058" s="338" t="s">
        <v>409</v>
      </c>
      <c r="P2058" s="338" t="s">
        <v>443</v>
      </c>
    </row>
    <row r="2059" spans="2:16" x14ac:dyDescent="0.25">
      <c r="B2059" s="336" t="s">
        <v>416</v>
      </c>
      <c r="C2059" s="337">
        <v>40252</v>
      </c>
      <c r="D2059" s="338" t="s">
        <v>956</v>
      </c>
      <c r="E2059" s="338" t="s">
        <v>5491</v>
      </c>
      <c r="F2059" s="338" t="s">
        <v>5490</v>
      </c>
      <c r="G2059" s="338" t="s">
        <v>413</v>
      </c>
      <c r="H2059" s="338" t="s">
        <v>425</v>
      </c>
      <c r="I2059" s="338" t="s">
        <v>411</v>
      </c>
      <c r="J2059" s="339"/>
      <c r="K2059" s="339"/>
      <c r="L2059" s="339"/>
      <c r="M2059" s="339"/>
      <c r="N2059" s="338"/>
      <c r="O2059" s="338" t="s">
        <v>417</v>
      </c>
      <c r="P2059" s="338" t="s">
        <v>417</v>
      </c>
    </row>
    <row r="2060" spans="2:16" x14ac:dyDescent="0.25">
      <c r="B2060" s="336" t="s">
        <v>416</v>
      </c>
      <c r="C2060" s="337">
        <v>40252</v>
      </c>
      <c r="D2060" s="338" t="s">
        <v>5489</v>
      </c>
      <c r="E2060" s="338" t="s">
        <v>5488</v>
      </c>
      <c r="F2060" s="338"/>
      <c r="G2060" s="338" t="s">
        <v>413</v>
      </c>
      <c r="H2060" s="338" t="s">
        <v>412</v>
      </c>
      <c r="I2060" s="338" t="s">
        <v>411</v>
      </c>
      <c r="J2060" s="339"/>
      <c r="K2060" s="339"/>
      <c r="L2060" s="339" t="s">
        <v>409</v>
      </c>
      <c r="M2060" s="339" t="s">
        <v>409</v>
      </c>
      <c r="N2060" s="338" t="s">
        <v>432</v>
      </c>
      <c r="O2060" s="338" t="s">
        <v>409</v>
      </c>
      <c r="P2060" s="338" t="s">
        <v>417</v>
      </c>
    </row>
    <row r="2061" spans="2:16" x14ac:dyDescent="0.25">
      <c r="B2061" s="336" t="s">
        <v>459</v>
      </c>
      <c r="C2061" s="337">
        <v>40249</v>
      </c>
      <c r="D2061" s="338" t="s">
        <v>5487</v>
      </c>
      <c r="E2061" s="338" t="s">
        <v>5486</v>
      </c>
      <c r="F2061" s="338"/>
      <c r="G2061" s="338">
        <v>25</v>
      </c>
      <c r="H2061" s="338" t="s">
        <v>425</v>
      </c>
      <c r="I2061" s="338" t="s">
        <v>411</v>
      </c>
      <c r="J2061" s="339"/>
      <c r="K2061" s="339"/>
      <c r="L2061" s="339" t="s">
        <v>409</v>
      </c>
      <c r="M2061" s="339" t="s">
        <v>409</v>
      </c>
      <c r="N2061" s="338" t="s">
        <v>417</v>
      </c>
      <c r="O2061" s="338" t="s">
        <v>409</v>
      </c>
      <c r="P2061" s="338" t="s">
        <v>443</v>
      </c>
    </row>
    <row r="2062" spans="2:16" x14ac:dyDescent="0.25">
      <c r="B2062" s="336" t="s">
        <v>416</v>
      </c>
      <c r="C2062" s="337">
        <v>40248</v>
      </c>
      <c r="D2062" s="338" t="s">
        <v>5485</v>
      </c>
      <c r="E2062" s="338" t="s">
        <v>5484</v>
      </c>
      <c r="F2062" s="338"/>
      <c r="G2062" s="338" t="s">
        <v>413</v>
      </c>
      <c r="H2062" s="338" t="s">
        <v>425</v>
      </c>
      <c r="I2062" s="338" t="s">
        <v>411</v>
      </c>
      <c r="J2062" s="339"/>
      <c r="K2062" s="339"/>
      <c r="L2062" s="339" t="s">
        <v>409</v>
      </c>
      <c r="M2062" s="339" t="s">
        <v>409</v>
      </c>
      <c r="N2062" s="338"/>
      <c r="O2062" s="338" t="s">
        <v>409</v>
      </c>
      <c r="P2062" s="338" t="s">
        <v>417</v>
      </c>
    </row>
    <row r="2063" spans="2:16" x14ac:dyDescent="0.25">
      <c r="B2063" s="336" t="s">
        <v>416</v>
      </c>
      <c r="C2063" s="337">
        <v>40247</v>
      </c>
      <c r="D2063" s="338" t="s">
        <v>5483</v>
      </c>
      <c r="E2063" s="338" t="s">
        <v>514</v>
      </c>
      <c r="F2063" s="338"/>
      <c r="G2063" s="338" t="s">
        <v>413</v>
      </c>
      <c r="H2063" s="338" t="s">
        <v>425</v>
      </c>
      <c r="I2063" s="338" t="s">
        <v>411</v>
      </c>
      <c r="J2063" s="339"/>
      <c r="K2063" s="339"/>
      <c r="L2063" s="339" t="s">
        <v>409</v>
      </c>
      <c r="M2063" s="339" t="s">
        <v>409</v>
      </c>
      <c r="N2063" s="338" t="s">
        <v>417</v>
      </c>
      <c r="O2063" s="338" t="s">
        <v>409</v>
      </c>
      <c r="P2063" s="338"/>
    </row>
    <row r="2064" spans="2:16" x14ac:dyDescent="0.25">
      <c r="B2064" s="336" t="s">
        <v>416</v>
      </c>
      <c r="C2064" s="337">
        <v>40246</v>
      </c>
      <c r="D2064" s="338" t="s">
        <v>3400</v>
      </c>
      <c r="E2064" s="338" t="s">
        <v>5482</v>
      </c>
      <c r="F2064" s="338"/>
      <c r="G2064" s="338" t="s">
        <v>413</v>
      </c>
      <c r="H2064" s="338" t="s">
        <v>412</v>
      </c>
      <c r="I2064" s="338" t="s">
        <v>411</v>
      </c>
      <c r="J2064" s="339"/>
      <c r="K2064" s="339"/>
      <c r="L2064" s="339" t="s">
        <v>409</v>
      </c>
      <c r="M2064" s="339" t="s">
        <v>409</v>
      </c>
      <c r="N2064" s="338" t="s">
        <v>487</v>
      </c>
      <c r="O2064" s="338" t="s">
        <v>409</v>
      </c>
      <c r="P2064" s="338" t="s">
        <v>410</v>
      </c>
    </row>
    <row r="2065" spans="2:16" x14ac:dyDescent="0.25">
      <c r="B2065" s="336" t="s">
        <v>459</v>
      </c>
      <c r="C2065" s="337">
        <v>40246</v>
      </c>
      <c r="D2065" s="338" t="s">
        <v>5481</v>
      </c>
      <c r="E2065" s="338" t="s">
        <v>5480</v>
      </c>
      <c r="F2065" s="338"/>
      <c r="G2065" s="338">
        <v>36.5</v>
      </c>
      <c r="H2065" s="338" t="s">
        <v>425</v>
      </c>
      <c r="I2065" s="338" t="s">
        <v>411</v>
      </c>
      <c r="J2065" s="339"/>
      <c r="K2065" s="339"/>
      <c r="L2065" s="339" t="s">
        <v>409</v>
      </c>
      <c r="M2065" s="339" t="s">
        <v>409</v>
      </c>
      <c r="N2065" s="338" t="s">
        <v>605</v>
      </c>
      <c r="O2065" s="338" t="s">
        <v>409</v>
      </c>
      <c r="P2065" s="338"/>
    </row>
    <row r="2066" spans="2:16" x14ac:dyDescent="0.25">
      <c r="B2066" s="336" t="s">
        <v>416</v>
      </c>
      <c r="C2066" s="337">
        <v>40245</v>
      </c>
      <c r="D2066" s="338" t="s">
        <v>5479</v>
      </c>
      <c r="E2066" s="338" t="s">
        <v>419</v>
      </c>
      <c r="F2066" s="338" t="s">
        <v>5478</v>
      </c>
      <c r="G2066" s="338" t="s">
        <v>413</v>
      </c>
      <c r="H2066" s="338" t="s">
        <v>425</v>
      </c>
      <c r="I2066" s="338" t="s">
        <v>411</v>
      </c>
      <c r="J2066" s="339"/>
      <c r="K2066" s="339"/>
      <c r="L2066" s="339"/>
      <c r="M2066" s="339"/>
      <c r="N2066" s="338"/>
      <c r="O2066" s="338" t="s">
        <v>417</v>
      </c>
      <c r="P2066" s="338" t="s">
        <v>417</v>
      </c>
    </row>
    <row r="2067" spans="2:16" x14ac:dyDescent="0.25">
      <c r="B2067" s="336" t="s">
        <v>416</v>
      </c>
      <c r="C2067" s="337">
        <v>40242</v>
      </c>
      <c r="D2067" s="338" t="s">
        <v>5477</v>
      </c>
      <c r="E2067" s="338" t="s">
        <v>5476</v>
      </c>
      <c r="F2067" s="338"/>
      <c r="G2067" s="338" t="s">
        <v>413</v>
      </c>
      <c r="H2067" s="338" t="s">
        <v>425</v>
      </c>
      <c r="I2067" s="338" t="s">
        <v>411</v>
      </c>
      <c r="J2067" s="339"/>
      <c r="K2067" s="339"/>
      <c r="L2067" s="339" t="s">
        <v>409</v>
      </c>
      <c r="M2067" s="339" t="s">
        <v>409</v>
      </c>
      <c r="N2067" s="338"/>
      <c r="O2067" s="338" t="s">
        <v>409</v>
      </c>
      <c r="P2067" s="338" t="s">
        <v>417</v>
      </c>
    </row>
    <row r="2068" spans="2:16" x14ac:dyDescent="0.25">
      <c r="B2068" s="336" t="s">
        <v>416</v>
      </c>
      <c r="C2068" s="337">
        <v>40240</v>
      </c>
      <c r="D2068" s="338" t="s">
        <v>956</v>
      </c>
      <c r="E2068" s="338" t="s">
        <v>1619</v>
      </c>
      <c r="F2068" s="338" t="s">
        <v>3009</v>
      </c>
      <c r="G2068" s="338" t="s">
        <v>413</v>
      </c>
      <c r="H2068" s="338" t="s">
        <v>425</v>
      </c>
      <c r="I2068" s="338" t="s">
        <v>411</v>
      </c>
      <c r="J2068" s="339"/>
      <c r="K2068" s="339"/>
      <c r="L2068" s="339">
        <v>0.249226</v>
      </c>
      <c r="M2068" s="339">
        <v>9.2123899999999992</v>
      </c>
      <c r="N2068" s="338"/>
      <c r="O2068" s="338" t="s">
        <v>410</v>
      </c>
      <c r="P2068" s="338" t="s">
        <v>417</v>
      </c>
    </row>
    <row r="2069" spans="2:16" x14ac:dyDescent="0.25">
      <c r="B2069" s="336" t="s">
        <v>416</v>
      </c>
      <c r="C2069" s="337">
        <v>40240</v>
      </c>
      <c r="D2069" s="338" t="s">
        <v>5475</v>
      </c>
      <c r="E2069" s="338" t="s">
        <v>5474</v>
      </c>
      <c r="F2069" s="338"/>
      <c r="G2069" s="338">
        <v>7.38</v>
      </c>
      <c r="H2069" s="338" t="s">
        <v>429</v>
      </c>
      <c r="I2069" s="338" t="s">
        <v>411</v>
      </c>
      <c r="J2069" s="339"/>
      <c r="K2069" s="339"/>
      <c r="L2069" s="339" t="s">
        <v>409</v>
      </c>
      <c r="M2069" s="339" t="s">
        <v>409</v>
      </c>
      <c r="N2069" s="338" t="s">
        <v>417</v>
      </c>
      <c r="O2069" s="338" t="s">
        <v>409</v>
      </c>
      <c r="P2069" s="338" t="s">
        <v>487</v>
      </c>
    </row>
    <row r="2070" spans="2:16" x14ac:dyDescent="0.25">
      <c r="B2070" s="336" t="s">
        <v>416</v>
      </c>
      <c r="C2070" s="337">
        <v>40240</v>
      </c>
      <c r="D2070" s="338" t="s">
        <v>5473</v>
      </c>
      <c r="E2070" s="338" t="s">
        <v>5472</v>
      </c>
      <c r="F2070" s="338" t="s">
        <v>5471</v>
      </c>
      <c r="G2070" s="338" t="s">
        <v>413</v>
      </c>
      <c r="H2070" s="338" t="s">
        <v>425</v>
      </c>
      <c r="I2070" s="338" t="s">
        <v>411</v>
      </c>
      <c r="J2070" s="339"/>
      <c r="K2070" s="339"/>
      <c r="L2070" s="339"/>
      <c r="M2070" s="339"/>
      <c r="N2070" s="338"/>
      <c r="O2070" s="338" t="s">
        <v>885</v>
      </c>
      <c r="P2070" s="338" t="s">
        <v>443</v>
      </c>
    </row>
    <row r="2071" spans="2:16" x14ac:dyDescent="0.25">
      <c r="B2071" s="336" t="s">
        <v>416</v>
      </c>
      <c r="C2071" s="337">
        <v>40240</v>
      </c>
      <c r="D2071" s="338" t="s">
        <v>5470</v>
      </c>
      <c r="E2071" s="338" t="s">
        <v>3797</v>
      </c>
      <c r="F2071" s="338" t="s">
        <v>5469</v>
      </c>
      <c r="G2071" s="338">
        <v>0.91</v>
      </c>
      <c r="H2071" s="338" t="s">
        <v>425</v>
      </c>
      <c r="I2071" s="338" t="s">
        <v>411</v>
      </c>
      <c r="J2071" s="339"/>
      <c r="K2071" s="339"/>
      <c r="L2071" s="339"/>
      <c r="M2071" s="339"/>
      <c r="N2071" s="338" t="s">
        <v>417</v>
      </c>
      <c r="O2071" s="338"/>
      <c r="P2071" s="338" t="s">
        <v>417</v>
      </c>
    </row>
    <row r="2072" spans="2:16" x14ac:dyDescent="0.25">
      <c r="B2072" s="336" t="s">
        <v>416</v>
      </c>
      <c r="C2072" s="337">
        <v>40240</v>
      </c>
      <c r="D2072" s="338" t="s">
        <v>5468</v>
      </c>
      <c r="E2072" s="338" t="s">
        <v>5467</v>
      </c>
      <c r="F2072" s="338"/>
      <c r="G2072" s="338" t="s">
        <v>413</v>
      </c>
      <c r="H2072" s="338" t="s">
        <v>412</v>
      </c>
      <c r="I2072" s="338" t="s">
        <v>411</v>
      </c>
      <c r="J2072" s="339"/>
      <c r="K2072" s="339"/>
      <c r="L2072" s="339" t="s">
        <v>409</v>
      </c>
      <c r="M2072" s="339" t="s">
        <v>409</v>
      </c>
      <c r="N2072" s="338" t="s">
        <v>417</v>
      </c>
      <c r="O2072" s="338" t="s">
        <v>409</v>
      </c>
      <c r="P2072" s="338" t="s">
        <v>417</v>
      </c>
    </row>
    <row r="2073" spans="2:16" x14ac:dyDescent="0.25">
      <c r="B2073" s="336" t="s">
        <v>416</v>
      </c>
      <c r="C2073" s="337">
        <v>40239</v>
      </c>
      <c r="D2073" s="338" t="s">
        <v>5466</v>
      </c>
      <c r="E2073" s="338" t="s">
        <v>2626</v>
      </c>
      <c r="F2073" s="338"/>
      <c r="G2073" s="338" t="s">
        <v>413</v>
      </c>
      <c r="H2073" s="338" t="s">
        <v>412</v>
      </c>
      <c r="I2073" s="338" t="s">
        <v>411</v>
      </c>
      <c r="J2073" s="339"/>
      <c r="K2073" s="339"/>
      <c r="L2073" s="339" t="s">
        <v>409</v>
      </c>
      <c r="M2073" s="339" t="s">
        <v>409</v>
      </c>
      <c r="N2073" s="338" t="s">
        <v>417</v>
      </c>
      <c r="O2073" s="338" t="s">
        <v>409</v>
      </c>
      <c r="P2073" s="338" t="s">
        <v>417</v>
      </c>
    </row>
    <row r="2074" spans="2:16" x14ac:dyDescent="0.25">
      <c r="B2074" s="336" t="s">
        <v>416</v>
      </c>
      <c r="C2074" s="337">
        <v>40239</v>
      </c>
      <c r="D2074" s="338" t="s">
        <v>5465</v>
      </c>
      <c r="E2074" s="338" t="s">
        <v>5464</v>
      </c>
      <c r="F2074" s="338" t="s">
        <v>5463</v>
      </c>
      <c r="G2074" s="338">
        <v>4.0999999999999996</v>
      </c>
      <c r="H2074" s="338" t="s">
        <v>425</v>
      </c>
      <c r="I2074" s="338" t="s">
        <v>411</v>
      </c>
      <c r="J2074" s="339"/>
      <c r="K2074" s="339"/>
      <c r="L2074" s="339"/>
      <c r="M2074" s="339"/>
      <c r="N2074" s="338"/>
      <c r="O2074" s="338" t="s">
        <v>417</v>
      </c>
      <c r="P2074" s="338" t="s">
        <v>410</v>
      </c>
    </row>
    <row r="2075" spans="2:16" x14ac:dyDescent="0.25">
      <c r="B2075" s="336" t="s">
        <v>416</v>
      </c>
      <c r="C2075" s="337">
        <v>40239</v>
      </c>
      <c r="D2075" s="338" t="s">
        <v>5462</v>
      </c>
      <c r="E2075" s="338" t="s">
        <v>2839</v>
      </c>
      <c r="F2075" s="338" t="s">
        <v>5461</v>
      </c>
      <c r="G2075" s="338" t="s">
        <v>413</v>
      </c>
      <c r="H2075" s="338" t="s">
        <v>425</v>
      </c>
      <c r="I2075" s="338" t="s">
        <v>411</v>
      </c>
      <c r="J2075" s="339"/>
      <c r="K2075" s="339"/>
      <c r="L2075" s="339"/>
      <c r="M2075" s="339"/>
      <c r="N2075" s="338"/>
      <c r="O2075" s="338" t="s">
        <v>432</v>
      </c>
      <c r="P2075" s="338" t="s">
        <v>417</v>
      </c>
    </row>
    <row r="2076" spans="2:16" x14ac:dyDescent="0.25">
      <c r="B2076" s="336" t="s">
        <v>416</v>
      </c>
      <c r="C2076" s="337">
        <v>40238</v>
      </c>
      <c r="D2076" s="338" t="s">
        <v>5460</v>
      </c>
      <c r="E2076" s="338" t="s">
        <v>5459</v>
      </c>
      <c r="F2076" s="338" t="s">
        <v>1203</v>
      </c>
      <c r="G2076" s="338" t="s">
        <v>413</v>
      </c>
      <c r="H2076" s="338" t="s">
        <v>425</v>
      </c>
      <c r="I2076" s="338" t="s">
        <v>411</v>
      </c>
      <c r="J2076" s="339"/>
      <c r="K2076" s="339"/>
      <c r="L2076" s="339">
        <v>1.88785</v>
      </c>
      <c r="M2076" s="339">
        <v>4.0728</v>
      </c>
      <c r="N2076" s="338"/>
      <c r="O2076" s="338" t="s">
        <v>417</v>
      </c>
      <c r="P2076" s="338" t="s">
        <v>432</v>
      </c>
    </row>
    <row r="2077" spans="2:16" x14ac:dyDescent="0.25">
      <c r="B2077" s="336" t="s">
        <v>416</v>
      </c>
      <c r="C2077" s="337">
        <v>40236</v>
      </c>
      <c r="D2077" s="338" t="s">
        <v>5458</v>
      </c>
      <c r="E2077" s="338" t="s">
        <v>5457</v>
      </c>
      <c r="F2077" s="338"/>
      <c r="G2077" s="338" t="s">
        <v>413</v>
      </c>
      <c r="H2077" s="338" t="s">
        <v>412</v>
      </c>
      <c r="I2077" s="338" t="s">
        <v>411</v>
      </c>
      <c r="J2077" s="339"/>
      <c r="K2077" s="339"/>
      <c r="L2077" s="339" t="s">
        <v>409</v>
      </c>
      <c r="M2077" s="339" t="s">
        <v>409</v>
      </c>
      <c r="N2077" s="338" t="s">
        <v>417</v>
      </c>
      <c r="O2077" s="338" t="s">
        <v>409</v>
      </c>
      <c r="P2077" s="338"/>
    </row>
    <row r="2078" spans="2:16" x14ac:dyDescent="0.25">
      <c r="B2078" s="336" t="s">
        <v>416</v>
      </c>
      <c r="C2078" s="337">
        <v>40235</v>
      </c>
      <c r="D2078" s="338" t="s">
        <v>5456</v>
      </c>
      <c r="E2078" s="338" t="s">
        <v>5455</v>
      </c>
      <c r="F2078" s="338"/>
      <c r="G2078" s="338" t="s">
        <v>413</v>
      </c>
      <c r="H2078" s="338" t="s">
        <v>425</v>
      </c>
      <c r="I2078" s="338" t="s">
        <v>411</v>
      </c>
      <c r="J2078" s="339"/>
      <c r="K2078" s="339"/>
      <c r="L2078" s="339" t="s">
        <v>409</v>
      </c>
      <c r="M2078" s="339" t="s">
        <v>409</v>
      </c>
      <c r="N2078" s="338"/>
      <c r="O2078" s="338" t="s">
        <v>409</v>
      </c>
      <c r="P2078" s="338" t="s">
        <v>543</v>
      </c>
    </row>
    <row r="2079" spans="2:16" x14ac:dyDescent="0.25">
      <c r="B2079" s="336" t="s">
        <v>416</v>
      </c>
      <c r="C2079" s="337">
        <v>40235</v>
      </c>
      <c r="D2079" s="338" t="s">
        <v>5454</v>
      </c>
      <c r="E2079" s="338" t="s">
        <v>1153</v>
      </c>
      <c r="F2079" s="338"/>
      <c r="G2079" s="338" t="s">
        <v>413</v>
      </c>
      <c r="H2079" s="338" t="s">
        <v>412</v>
      </c>
      <c r="I2079" s="338" t="s">
        <v>411</v>
      </c>
      <c r="J2079" s="339"/>
      <c r="K2079" s="339"/>
      <c r="L2079" s="339" t="s">
        <v>409</v>
      </c>
      <c r="M2079" s="339" t="s">
        <v>409</v>
      </c>
      <c r="N2079" s="338" t="s">
        <v>417</v>
      </c>
      <c r="O2079" s="338" t="s">
        <v>409</v>
      </c>
      <c r="P2079" s="338" t="s">
        <v>443</v>
      </c>
    </row>
    <row r="2080" spans="2:16" x14ac:dyDescent="0.25">
      <c r="B2080" s="336" t="s">
        <v>416</v>
      </c>
      <c r="C2080" s="337">
        <v>40234</v>
      </c>
      <c r="D2080" s="338" t="s">
        <v>5453</v>
      </c>
      <c r="E2080" s="338" t="s">
        <v>5452</v>
      </c>
      <c r="F2080" s="338" t="s">
        <v>5451</v>
      </c>
      <c r="G2080" s="338" t="s">
        <v>413</v>
      </c>
      <c r="H2080" s="338" t="s">
        <v>412</v>
      </c>
      <c r="I2080" s="338" t="s">
        <v>411</v>
      </c>
      <c r="J2080" s="339"/>
      <c r="K2080" s="339"/>
      <c r="L2080" s="339"/>
      <c r="M2080" s="339"/>
      <c r="N2080" s="338" t="s">
        <v>417</v>
      </c>
      <c r="O2080" s="338" t="s">
        <v>417</v>
      </c>
      <c r="P2080" s="338" t="s">
        <v>432</v>
      </c>
    </row>
    <row r="2081" spans="2:16" x14ac:dyDescent="0.25">
      <c r="B2081" s="336" t="s">
        <v>416</v>
      </c>
      <c r="C2081" s="337">
        <v>40234</v>
      </c>
      <c r="D2081" s="338" t="s">
        <v>3488</v>
      </c>
      <c r="E2081" s="338" t="s">
        <v>2356</v>
      </c>
      <c r="F2081" s="338"/>
      <c r="G2081" s="338">
        <v>23.5</v>
      </c>
      <c r="H2081" s="338" t="s">
        <v>425</v>
      </c>
      <c r="I2081" s="338" t="s">
        <v>411</v>
      </c>
      <c r="J2081" s="339"/>
      <c r="K2081" s="339"/>
      <c r="L2081" s="339" t="s">
        <v>409</v>
      </c>
      <c r="M2081" s="339" t="s">
        <v>409</v>
      </c>
      <c r="N2081" s="338"/>
      <c r="O2081" s="338" t="s">
        <v>409</v>
      </c>
      <c r="P2081" s="338" t="s">
        <v>443</v>
      </c>
    </row>
    <row r="2082" spans="2:16" x14ac:dyDescent="0.25">
      <c r="B2082" s="336" t="s">
        <v>459</v>
      </c>
      <c r="C2082" s="337">
        <v>40234</v>
      </c>
      <c r="D2082" s="338" t="s">
        <v>5450</v>
      </c>
      <c r="E2082" s="338" t="s">
        <v>5449</v>
      </c>
      <c r="F2082" s="338"/>
      <c r="G2082" s="338">
        <v>15</v>
      </c>
      <c r="H2082" s="338" t="s">
        <v>425</v>
      </c>
      <c r="I2082" s="338" t="s">
        <v>411</v>
      </c>
      <c r="J2082" s="339"/>
      <c r="K2082" s="339"/>
      <c r="L2082" s="339" t="s">
        <v>409</v>
      </c>
      <c r="M2082" s="339" t="s">
        <v>409</v>
      </c>
      <c r="N2082" s="338" t="s">
        <v>417</v>
      </c>
      <c r="O2082" s="338" t="s">
        <v>409</v>
      </c>
      <c r="P2082" s="338" t="s">
        <v>443</v>
      </c>
    </row>
    <row r="2083" spans="2:16" x14ac:dyDescent="0.25">
      <c r="B2083" s="336" t="s">
        <v>459</v>
      </c>
      <c r="C2083" s="337">
        <v>40234</v>
      </c>
      <c r="D2083" s="338" t="s">
        <v>5448</v>
      </c>
      <c r="E2083" s="338" t="s">
        <v>5447</v>
      </c>
      <c r="F2083" s="338"/>
      <c r="G2083" s="338" t="s">
        <v>413</v>
      </c>
      <c r="H2083" s="338" t="s">
        <v>425</v>
      </c>
      <c r="I2083" s="338" t="s">
        <v>411</v>
      </c>
      <c r="J2083" s="339"/>
      <c r="K2083" s="339"/>
      <c r="L2083" s="339" t="s">
        <v>409</v>
      </c>
      <c r="M2083" s="339" t="s">
        <v>409</v>
      </c>
      <c r="N2083" s="338" t="s">
        <v>417</v>
      </c>
      <c r="O2083" s="338" t="s">
        <v>409</v>
      </c>
      <c r="P2083" s="338" t="s">
        <v>443</v>
      </c>
    </row>
    <row r="2084" spans="2:16" x14ac:dyDescent="0.25">
      <c r="B2084" s="336" t="s">
        <v>416</v>
      </c>
      <c r="C2084" s="337">
        <v>40233</v>
      </c>
      <c r="D2084" s="338" t="s">
        <v>5446</v>
      </c>
      <c r="E2084" s="338" t="s">
        <v>5445</v>
      </c>
      <c r="F2084" s="338" t="s">
        <v>5444</v>
      </c>
      <c r="G2084" s="338" t="s">
        <v>413</v>
      </c>
      <c r="H2084" s="338" t="s">
        <v>425</v>
      </c>
      <c r="I2084" s="338" t="s">
        <v>411</v>
      </c>
      <c r="J2084" s="339"/>
      <c r="K2084" s="339"/>
      <c r="L2084" s="339"/>
      <c r="M2084" s="339"/>
      <c r="N2084" s="338" t="s">
        <v>417</v>
      </c>
      <c r="O2084" s="338" t="s">
        <v>417</v>
      </c>
      <c r="P2084" s="338" t="s">
        <v>417</v>
      </c>
    </row>
    <row r="2085" spans="2:16" x14ac:dyDescent="0.25">
      <c r="B2085" s="336" t="s">
        <v>416</v>
      </c>
      <c r="C2085" s="337">
        <v>40232</v>
      </c>
      <c r="D2085" s="338" t="s">
        <v>956</v>
      </c>
      <c r="E2085" s="338" t="s">
        <v>5443</v>
      </c>
      <c r="F2085" s="338" t="s">
        <v>3107</v>
      </c>
      <c r="G2085" s="338" t="s">
        <v>413</v>
      </c>
      <c r="H2085" s="338" t="s">
        <v>425</v>
      </c>
      <c r="I2085" s="338" t="s">
        <v>411</v>
      </c>
      <c r="J2085" s="339"/>
      <c r="K2085" s="339"/>
      <c r="L2085" s="339">
        <v>0.246111</v>
      </c>
      <c r="M2085" s="339">
        <v>10.0611</v>
      </c>
      <c r="N2085" s="338"/>
      <c r="O2085" s="338" t="s">
        <v>605</v>
      </c>
      <c r="P2085" s="338" t="s">
        <v>417</v>
      </c>
    </row>
    <row r="2086" spans="2:16" x14ac:dyDescent="0.25">
      <c r="B2086" s="336" t="s">
        <v>416</v>
      </c>
      <c r="C2086" s="337">
        <v>40232</v>
      </c>
      <c r="D2086" s="338" t="s">
        <v>5442</v>
      </c>
      <c r="E2086" s="338" t="s">
        <v>1819</v>
      </c>
      <c r="F2086" s="338"/>
      <c r="G2086" s="338" t="s">
        <v>413</v>
      </c>
      <c r="H2086" s="338" t="s">
        <v>412</v>
      </c>
      <c r="I2086" s="338" t="s">
        <v>411</v>
      </c>
      <c r="J2086" s="339"/>
      <c r="K2086" s="339"/>
      <c r="L2086" s="339" t="s">
        <v>409</v>
      </c>
      <c r="M2086" s="339" t="s">
        <v>409</v>
      </c>
      <c r="N2086" s="338" t="s">
        <v>605</v>
      </c>
      <c r="O2086" s="338" t="s">
        <v>409</v>
      </c>
      <c r="P2086" s="338" t="s">
        <v>417</v>
      </c>
    </row>
    <row r="2087" spans="2:16" x14ac:dyDescent="0.25">
      <c r="B2087" s="336" t="s">
        <v>416</v>
      </c>
      <c r="C2087" s="337">
        <v>40231</v>
      </c>
      <c r="D2087" s="338" t="s">
        <v>5441</v>
      </c>
      <c r="E2087" s="338" t="s">
        <v>5440</v>
      </c>
      <c r="F2087" s="338"/>
      <c r="G2087" s="338" t="s">
        <v>413</v>
      </c>
      <c r="H2087" s="338" t="s">
        <v>412</v>
      </c>
      <c r="I2087" s="338" t="s">
        <v>411</v>
      </c>
      <c r="J2087" s="339"/>
      <c r="K2087" s="339"/>
      <c r="L2087" s="339" t="s">
        <v>409</v>
      </c>
      <c r="M2087" s="339" t="s">
        <v>409</v>
      </c>
      <c r="N2087" s="338" t="s">
        <v>432</v>
      </c>
      <c r="O2087" s="338" t="s">
        <v>409</v>
      </c>
      <c r="P2087" s="338" t="s">
        <v>417</v>
      </c>
    </row>
    <row r="2088" spans="2:16" x14ac:dyDescent="0.25">
      <c r="B2088" s="336" t="s">
        <v>416</v>
      </c>
      <c r="C2088" s="337">
        <v>40231</v>
      </c>
      <c r="D2088" s="338" t="s">
        <v>5439</v>
      </c>
      <c r="E2088" s="338" t="s">
        <v>5438</v>
      </c>
      <c r="F2088" s="338"/>
      <c r="G2088" s="338" t="s">
        <v>413</v>
      </c>
      <c r="H2088" s="338" t="s">
        <v>425</v>
      </c>
      <c r="I2088" s="338" t="s">
        <v>411</v>
      </c>
      <c r="J2088" s="339"/>
      <c r="K2088" s="339"/>
      <c r="L2088" s="339" t="s">
        <v>409</v>
      </c>
      <c r="M2088" s="339" t="s">
        <v>409</v>
      </c>
      <c r="N2088" s="338"/>
      <c r="O2088" s="338" t="s">
        <v>409</v>
      </c>
      <c r="P2088" s="338" t="s">
        <v>417</v>
      </c>
    </row>
    <row r="2089" spans="2:16" x14ac:dyDescent="0.25">
      <c r="B2089" s="336" t="s">
        <v>416</v>
      </c>
      <c r="C2089" s="337">
        <v>40226</v>
      </c>
      <c r="D2089" s="338" t="s">
        <v>5437</v>
      </c>
      <c r="E2089" s="338" t="s">
        <v>1619</v>
      </c>
      <c r="F2089" s="338" t="s">
        <v>5436</v>
      </c>
      <c r="G2089" s="338">
        <v>1075</v>
      </c>
      <c r="H2089" s="338" t="s">
        <v>418</v>
      </c>
      <c r="I2089" s="338" t="s">
        <v>411</v>
      </c>
      <c r="J2089" s="339"/>
      <c r="K2089" s="339"/>
      <c r="L2089" s="339"/>
      <c r="M2089" s="339"/>
      <c r="N2089" s="338" t="s">
        <v>417</v>
      </c>
      <c r="O2089" s="338" t="s">
        <v>443</v>
      </c>
      <c r="P2089" s="338" t="s">
        <v>417</v>
      </c>
    </row>
    <row r="2090" spans="2:16" x14ac:dyDescent="0.25">
      <c r="B2090" s="336" t="s">
        <v>416</v>
      </c>
      <c r="C2090" s="337">
        <v>40225</v>
      </c>
      <c r="D2090" s="338" t="s">
        <v>5435</v>
      </c>
      <c r="E2090" s="338" t="s">
        <v>5434</v>
      </c>
      <c r="F2090" s="338"/>
      <c r="G2090" s="338" t="s">
        <v>413</v>
      </c>
      <c r="H2090" s="338" t="s">
        <v>425</v>
      </c>
      <c r="I2090" s="338" t="s">
        <v>411</v>
      </c>
      <c r="J2090" s="339"/>
      <c r="K2090" s="339"/>
      <c r="L2090" s="339" t="s">
        <v>409</v>
      </c>
      <c r="M2090" s="339" t="s">
        <v>409</v>
      </c>
      <c r="N2090" s="338" t="s">
        <v>417</v>
      </c>
      <c r="O2090" s="338" t="s">
        <v>409</v>
      </c>
      <c r="P2090" s="338" t="s">
        <v>417</v>
      </c>
    </row>
    <row r="2091" spans="2:16" x14ac:dyDescent="0.25">
      <c r="B2091" s="336" t="s">
        <v>459</v>
      </c>
      <c r="C2091" s="337">
        <v>40225</v>
      </c>
      <c r="D2091" s="338" t="s">
        <v>1203</v>
      </c>
      <c r="E2091" s="338" t="s">
        <v>3254</v>
      </c>
      <c r="F2091" s="338"/>
      <c r="G2091" s="338">
        <v>124.06</v>
      </c>
      <c r="H2091" s="338" t="s">
        <v>425</v>
      </c>
      <c r="I2091" s="338" t="s">
        <v>411</v>
      </c>
      <c r="J2091" s="339">
        <v>1.88785</v>
      </c>
      <c r="K2091" s="339">
        <v>4.0728</v>
      </c>
      <c r="L2091" s="339" t="s">
        <v>409</v>
      </c>
      <c r="M2091" s="339" t="s">
        <v>409</v>
      </c>
      <c r="N2091" s="338" t="s">
        <v>417</v>
      </c>
      <c r="O2091" s="338" t="s">
        <v>409</v>
      </c>
      <c r="P2091" s="338" t="s">
        <v>417</v>
      </c>
    </row>
    <row r="2092" spans="2:16" x14ac:dyDescent="0.25">
      <c r="B2092" s="336" t="s">
        <v>416</v>
      </c>
      <c r="C2092" s="337">
        <v>40221</v>
      </c>
      <c r="D2092" s="338" t="s">
        <v>5433</v>
      </c>
      <c r="E2092" s="338" t="s">
        <v>3574</v>
      </c>
      <c r="F2092" s="338"/>
      <c r="G2092" s="338" t="s">
        <v>413</v>
      </c>
      <c r="H2092" s="338" t="s">
        <v>412</v>
      </c>
      <c r="I2092" s="338" t="s">
        <v>411</v>
      </c>
      <c r="J2092" s="339"/>
      <c r="K2092" s="339"/>
      <c r="L2092" s="339" t="s">
        <v>409</v>
      </c>
      <c r="M2092" s="339" t="s">
        <v>409</v>
      </c>
      <c r="N2092" s="338" t="s">
        <v>417</v>
      </c>
      <c r="O2092" s="338" t="s">
        <v>409</v>
      </c>
      <c r="P2092" s="338" t="s">
        <v>417</v>
      </c>
    </row>
    <row r="2093" spans="2:16" x14ac:dyDescent="0.25">
      <c r="B2093" s="336" t="s">
        <v>416</v>
      </c>
      <c r="C2093" s="337">
        <v>40221</v>
      </c>
      <c r="D2093" s="338" t="s">
        <v>5432</v>
      </c>
      <c r="E2093" s="338" t="s">
        <v>5431</v>
      </c>
      <c r="F2093" s="338"/>
      <c r="G2093" s="338" t="s">
        <v>413</v>
      </c>
      <c r="H2093" s="338" t="s">
        <v>425</v>
      </c>
      <c r="I2093" s="338" t="s">
        <v>411</v>
      </c>
      <c r="J2093" s="339"/>
      <c r="K2093" s="339"/>
      <c r="L2093" s="339" t="s">
        <v>409</v>
      </c>
      <c r="M2093" s="339" t="s">
        <v>409</v>
      </c>
      <c r="N2093" s="338"/>
      <c r="O2093" s="338" t="s">
        <v>409</v>
      </c>
      <c r="P2093" s="338"/>
    </row>
    <row r="2094" spans="2:16" x14ac:dyDescent="0.25">
      <c r="B2094" s="336" t="s">
        <v>416</v>
      </c>
      <c r="C2094" s="337">
        <v>40221</v>
      </c>
      <c r="D2094" s="338" t="s">
        <v>5430</v>
      </c>
      <c r="E2094" s="338" t="s">
        <v>514</v>
      </c>
      <c r="F2094" s="338"/>
      <c r="G2094" s="338" t="s">
        <v>413</v>
      </c>
      <c r="H2094" s="338" t="s">
        <v>412</v>
      </c>
      <c r="I2094" s="338" t="s">
        <v>411</v>
      </c>
      <c r="J2094" s="339"/>
      <c r="K2094" s="339"/>
      <c r="L2094" s="339" t="s">
        <v>409</v>
      </c>
      <c r="M2094" s="339" t="s">
        <v>409</v>
      </c>
      <c r="N2094" s="338" t="s">
        <v>417</v>
      </c>
      <c r="O2094" s="338" t="s">
        <v>409</v>
      </c>
      <c r="P2094" s="338"/>
    </row>
    <row r="2095" spans="2:16" x14ac:dyDescent="0.25">
      <c r="B2095" s="336" t="s">
        <v>416</v>
      </c>
      <c r="C2095" s="337">
        <v>40220</v>
      </c>
      <c r="D2095" s="338" t="s">
        <v>5429</v>
      </c>
      <c r="E2095" s="338" t="s">
        <v>5428</v>
      </c>
      <c r="F2095" s="338" t="s">
        <v>5427</v>
      </c>
      <c r="G2095" s="338" t="s">
        <v>413</v>
      </c>
      <c r="H2095" s="338" t="s">
        <v>425</v>
      </c>
      <c r="I2095" s="338" t="s">
        <v>411</v>
      </c>
      <c r="J2095" s="339"/>
      <c r="K2095" s="339"/>
      <c r="L2095" s="339"/>
      <c r="M2095" s="339"/>
      <c r="N2095" s="338"/>
      <c r="O2095" s="338" t="s">
        <v>417</v>
      </c>
      <c r="P2095" s="338" t="s">
        <v>443</v>
      </c>
    </row>
    <row r="2096" spans="2:16" x14ac:dyDescent="0.25">
      <c r="B2096" s="336" t="s">
        <v>416</v>
      </c>
      <c r="C2096" s="337">
        <v>40219</v>
      </c>
      <c r="D2096" s="338" t="s">
        <v>956</v>
      </c>
      <c r="E2096" s="338" t="s">
        <v>5426</v>
      </c>
      <c r="F2096" s="338" t="s">
        <v>5425</v>
      </c>
      <c r="G2096" s="338" t="s">
        <v>413</v>
      </c>
      <c r="H2096" s="338" t="s">
        <v>425</v>
      </c>
      <c r="I2096" s="338" t="s">
        <v>411</v>
      </c>
      <c r="J2096" s="339"/>
      <c r="K2096" s="339"/>
      <c r="L2096" s="339"/>
      <c r="M2096" s="339"/>
      <c r="N2096" s="338"/>
      <c r="O2096" s="338" t="s">
        <v>487</v>
      </c>
      <c r="P2096" s="338" t="s">
        <v>487</v>
      </c>
    </row>
    <row r="2097" spans="2:16" x14ac:dyDescent="0.25">
      <c r="B2097" s="336" t="s">
        <v>416</v>
      </c>
      <c r="C2097" s="337">
        <v>40218</v>
      </c>
      <c r="D2097" s="338" t="s">
        <v>5424</v>
      </c>
      <c r="E2097" s="338" t="s">
        <v>5423</v>
      </c>
      <c r="F2097" s="338"/>
      <c r="G2097" s="338">
        <v>6.81</v>
      </c>
      <c r="H2097" s="338" t="s">
        <v>425</v>
      </c>
      <c r="I2097" s="338" t="s">
        <v>411</v>
      </c>
      <c r="J2097" s="339"/>
      <c r="K2097" s="339"/>
      <c r="L2097" s="339" t="s">
        <v>409</v>
      </c>
      <c r="M2097" s="339" t="s">
        <v>409</v>
      </c>
      <c r="N2097" s="338"/>
      <c r="O2097" s="338" t="s">
        <v>409</v>
      </c>
      <c r="P2097" s="338" t="s">
        <v>408</v>
      </c>
    </row>
    <row r="2098" spans="2:16" x14ac:dyDescent="0.25">
      <c r="B2098" s="336" t="s">
        <v>416</v>
      </c>
      <c r="C2098" s="337">
        <v>40218</v>
      </c>
      <c r="D2098" s="338" t="s">
        <v>5422</v>
      </c>
      <c r="E2098" s="338" t="s">
        <v>5421</v>
      </c>
      <c r="F2098" s="338"/>
      <c r="G2098" s="338" t="s">
        <v>413</v>
      </c>
      <c r="H2098" s="338" t="s">
        <v>412</v>
      </c>
      <c r="I2098" s="338" t="s">
        <v>411</v>
      </c>
      <c r="J2098" s="339"/>
      <c r="K2098" s="339"/>
      <c r="L2098" s="339" t="s">
        <v>409</v>
      </c>
      <c r="M2098" s="339" t="s">
        <v>409</v>
      </c>
      <c r="N2098" s="338" t="s">
        <v>605</v>
      </c>
      <c r="O2098" s="338" t="s">
        <v>409</v>
      </c>
      <c r="P2098" s="338" t="s">
        <v>605</v>
      </c>
    </row>
    <row r="2099" spans="2:16" x14ac:dyDescent="0.25">
      <c r="B2099" s="336" t="s">
        <v>416</v>
      </c>
      <c r="C2099" s="337">
        <v>40217</v>
      </c>
      <c r="D2099" s="338" t="s">
        <v>5420</v>
      </c>
      <c r="E2099" s="338" t="s">
        <v>5419</v>
      </c>
      <c r="F2099" s="338"/>
      <c r="G2099" s="338">
        <v>0.94</v>
      </c>
      <c r="H2099" s="338" t="s">
        <v>336</v>
      </c>
      <c r="I2099" s="338" t="s">
        <v>411</v>
      </c>
      <c r="J2099" s="339"/>
      <c r="K2099" s="339"/>
      <c r="L2099" s="339" t="s">
        <v>409</v>
      </c>
      <c r="M2099" s="339" t="s">
        <v>409</v>
      </c>
      <c r="N2099" s="338" t="s">
        <v>487</v>
      </c>
      <c r="O2099" s="338" t="s">
        <v>409</v>
      </c>
      <c r="P2099" s="338" t="s">
        <v>432</v>
      </c>
    </row>
    <row r="2100" spans="2:16" x14ac:dyDescent="0.25">
      <c r="B2100" s="336" t="s">
        <v>416</v>
      </c>
      <c r="C2100" s="337">
        <v>40214</v>
      </c>
      <c r="D2100" s="338" t="s">
        <v>4091</v>
      </c>
      <c r="E2100" s="338" t="s">
        <v>5418</v>
      </c>
      <c r="F2100" s="338" t="s">
        <v>4090</v>
      </c>
      <c r="G2100" s="338" t="s">
        <v>413</v>
      </c>
      <c r="H2100" s="338" t="s">
        <v>425</v>
      </c>
      <c r="I2100" s="338" t="s">
        <v>411</v>
      </c>
      <c r="J2100" s="339"/>
      <c r="K2100" s="339"/>
      <c r="L2100" s="339"/>
      <c r="M2100" s="339"/>
      <c r="N2100" s="338" t="s">
        <v>417</v>
      </c>
      <c r="O2100" s="338" t="s">
        <v>417</v>
      </c>
      <c r="P2100" s="338" t="s">
        <v>417</v>
      </c>
    </row>
    <row r="2101" spans="2:16" x14ac:dyDescent="0.25">
      <c r="B2101" s="336" t="s">
        <v>416</v>
      </c>
      <c r="C2101" s="337">
        <v>40214</v>
      </c>
      <c r="D2101" s="338" t="s">
        <v>5417</v>
      </c>
      <c r="E2101" s="338" t="s">
        <v>419</v>
      </c>
      <c r="F2101" s="338" t="s">
        <v>5416</v>
      </c>
      <c r="G2101" s="338" t="s">
        <v>413</v>
      </c>
      <c r="H2101" s="338" t="s">
        <v>425</v>
      </c>
      <c r="I2101" s="338" t="s">
        <v>411</v>
      </c>
      <c r="J2101" s="339"/>
      <c r="K2101" s="339"/>
      <c r="L2101" s="339"/>
      <c r="M2101" s="339"/>
      <c r="N2101" s="338"/>
      <c r="O2101" s="338" t="s">
        <v>417</v>
      </c>
      <c r="P2101" s="338" t="s">
        <v>417</v>
      </c>
    </row>
    <row r="2102" spans="2:16" x14ac:dyDescent="0.25">
      <c r="B2102" s="336" t="s">
        <v>416</v>
      </c>
      <c r="C2102" s="337">
        <v>40213</v>
      </c>
      <c r="D2102" s="338" t="s">
        <v>5415</v>
      </c>
      <c r="E2102" s="338" t="s">
        <v>3319</v>
      </c>
      <c r="F2102" s="338"/>
      <c r="G2102" s="338" t="s">
        <v>413</v>
      </c>
      <c r="H2102" s="338" t="s">
        <v>336</v>
      </c>
      <c r="I2102" s="338" t="s">
        <v>411</v>
      </c>
      <c r="J2102" s="339"/>
      <c r="K2102" s="339"/>
      <c r="L2102" s="339" t="s">
        <v>409</v>
      </c>
      <c r="M2102" s="339" t="s">
        <v>409</v>
      </c>
      <c r="N2102" s="338" t="s">
        <v>432</v>
      </c>
      <c r="O2102" s="338" t="s">
        <v>409</v>
      </c>
      <c r="P2102" s="338" t="s">
        <v>432</v>
      </c>
    </row>
    <row r="2103" spans="2:16" x14ac:dyDescent="0.25">
      <c r="B2103" s="336" t="s">
        <v>416</v>
      </c>
      <c r="C2103" s="337">
        <v>40213</v>
      </c>
      <c r="D2103" s="338" t="s">
        <v>956</v>
      </c>
      <c r="E2103" s="338" t="s">
        <v>5414</v>
      </c>
      <c r="F2103" s="338" t="s">
        <v>5413</v>
      </c>
      <c r="G2103" s="338" t="s">
        <v>413</v>
      </c>
      <c r="H2103" s="338" t="s">
        <v>425</v>
      </c>
      <c r="I2103" s="338" t="s">
        <v>411</v>
      </c>
      <c r="J2103" s="339"/>
      <c r="K2103" s="339"/>
      <c r="L2103" s="339"/>
      <c r="M2103" s="339"/>
      <c r="N2103" s="338"/>
      <c r="O2103" s="338" t="s">
        <v>417</v>
      </c>
      <c r="P2103" s="338" t="s">
        <v>885</v>
      </c>
    </row>
    <row r="2104" spans="2:16" x14ac:dyDescent="0.25">
      <c r="B2104" s="336" t="s">
        <v>459</v>
      </c>
      <c r="C2104" s="337">
        <v>40213</v>
      </c>
      <c r="D2104" s="338" t="s">
        <v>5412</v>
      </c>
      <c r="E2104" s="338" t="s">
        <v>5411</v>
      </c>
      <c r="F2104" s="338"/>
      <c r="G2104" s="338">
        <v>18</v>
      </c>
      <c r="H2104" s="338" t="s">
        <v>425</v>
      </c>
      <c r="I2104" s="338" t="s">
        <v>411</v>
      </c>
      <c r="J2104" s="339"/>
      <c r="K2104" s="339"/>
      <c r="L2104" s="339" t="s">
        <v>409</v>
      </c>
      <c r="M2104" s="339" t="s">
        <v>409</v>
      </c>
      <c r="N2104" s="338" t="s">
        <v>410</v>
      </c>
      <c r="O2104" s="338" t="s">
        <v>409</v>
      </c>
      <c r="P2104" s="338"/>
    </row>
    <row r="2105" spans="2:16" x14ac:dyDescent="0.25">
      <c r="B2105" s="336" t="s">
        <v>416</v>
      </c>
      <c r="C2105" s="337">
        <v>40212</v>
      </c>
      <c r="D2105" s="338" t="s">
        <v>1234</v>
      </c>
      <c r="E2105" s="338" t="s">
        <v>5410</v>
      </c>
      <c r="F2105" s="338"/>
      <c r="G2105" s="338">
        <v>10</v>
      </c>
      <c r="H2105" s="338" t="s">
        <v>425</v>
      </c>
      <c r="I2105" s="338" t="s">
        <v>411</v>
      </c>
      <c r="J2105" s="339">
        <v>0.47328900000000002</v>
      </c>
      <c r="K2105" s="339">
        <v>408.99</v>
      </c>
      <c r="L2105" s="339" t="s">
        <v>409</v>
      </c>
      <c r="M2105" s="339" t="s">
        <v>409</v>
      </c>
      <c r="N2105" s="338" t="s">
        <v>417</v>
      </c>
      <c r="O2105" s="338" t="s">
        <v>409</v>
      </c>
      <c r="P2105" s="338"/>
    </row>
    <row r="2106" spans="2:16" x14ac:dyDescent="0.25">
      <c r="B2106" s="336" t="s">
        <v>416</v>
      </c>
      <c r="C2106" s="337">
        <v>40211</v>
      </c>
      <c r="D2106" s="338" t="s">
        <v>5409</v>
      </c>
      <c r="E2106" s="338" t="s">
        <v>5408</v>
      </c>
      <c r="F2106" s="338"/>
      <c r="G2106" s="338" t="s">
        <v>413</v>
      </c>
      <c r="H2106" s="338" t="s">
        <v>412</v>
      </c>
      <c r="I2106" s="338" t="s">
        <v>411</v>
      </c>
      <c r="J2106" s="339"/>
      <c r="K2106" s="339"/>
      <c r="L2106" s="339" t="s">
        <v>409</v>
      </c>
      <c r="M2106" s="339" t="s">
        <v>409</v>
      </c>
      <c r="N2106" s="338" t="s">
        <v>417</v>
      </c>
      <c r="O2106" s="338" t="s">
        <v>409</v>
      </c>
      <c r="P2106" s="338" t="s">
        <v>417</v>
      </c>
    </row>
    <row r="2107" spans="2:16" x14ac:dyDescent="0.25">
      <c r="B2107" s="336" t="s">
        <v>416</v>
      </c>
      <c r="C2107" s="337">
        <v>40211</v>
      </c>
      <c r="D2107" s="338" t="s">
        <v>5407</v>
      </c>
      <c r="E2107" s="338" t="s">
        <v>3642</v>
      </c>
      <c r="F2107" s="338"/>
      <c r="G2107" s="338" t="s">
        <v>413</v>
      </c>
      <c r="H2107" s="338" t="s">
        <v>425</v>
      </c>
      <c r="I2107" s="338" t="s">
        <v>411</v>
      </c>
      <c r="J2107" s="339"/>
      <c r="K2107" s="339"/>
      <c r="L2107" s="339" t="s">
        <v>409</v>
      </c>
      <c r="M2107" s="339" t="s">
        <v>409</v>
      </c>
      <c r="N2107" s="338"/>
      <c r="O2107" s="338" t="s">
        <v>409</v>
      </c>
      <c r="P2107" s="338" t="s">
        <v>443</v>
      </c>
    </row>
    <row r="2108" spans="2:16" x14ac:dyDescent="0.25">
      <c r="B2108" s="336" t="s">
        <v>416</v>
      </c>
      <c r="C2108" s="337">
        <v>40210</v>
      </c>
      <c r="D2108" s="338" t="s">
        <v>5406</v>
      </c>
      <c r="E2108" s="338" t="s">
        <v>5135</v>
      </c>
      <c r="F2108" s="338"/>
      <c r="G2108" s="338" t="s">
        <v>413</v>
      </c>
      <c r="H2108" s="338" t="s">
        <v>412</v>
      </c>
      <c r="I2108" s="338" t="s">
        <v>411</v>
      </c>
      <c r="J2108" s="339"/>
      <c r="K2108" s="339"/>
      <c r="L2108" s="339" t="s">
        <v>409</v>
      </c>
      <c r="M2108" s="339" t="s">
        <v>409</v>
      </c>
      <c r="N2108" s="338" t="s">
        <v>417</v>
      </c>
      <c r="O2108" s="338" t="s">
        <v>409</v>
      </c>
      <c r="P2108" s="338" t="s">
        <v>417</v>
      </c>
    </row>
    <row r="2109" spans="2:16" x14ac:dyDescent="0.25">
      <c r="B2109" s="336" t="s">
        <v>416</v>
      </c>
      <c r="C2109" s="337">
        <v>40210</v>
      </c>
      <c r="D2109" s="338" t="s">
        <v>5405</v>
      </c>
      <c r="E2109" s="338" t="s">
        <v>5069</v>
      </c>
      <c r="F2109" s="338"/>
      <c r="G2109" s="338">
        <v>4.5999999999999996</v>
      </c>
      <c r="H2109" s="338" t="s">
        <v>425</v>
      </c>
      <c r="I2109" s="338" t="s">
        <v>411</v>
      </c>
      <c r="J2109" s="339"/>
      <c r="K2109" s="339"/>
      <c r="L2109" s="339" t="s">
        <v>409</v>
      </c>
      <c r="M2109" s="339" t="s">
        <v>409</v>
      </c>
      <c r="N2109" s="338" t="s">
        <v>417</v>
      </c>
      <c r="O2109" s="338" t="s">
        <v>409</v>
      </c>
      <c r="P2109" s="338" t="s">
        <v>432</v>
      </c>
    </row>
    <row r="2110" spans="2:16" x14ac:dyDescent="0.25">
      <c r="B2110" s="336" t="s">
        <v>416</v>
      </c>
      <c r="C2110" s="337">
        <v>40207</v>
      </c>
      <c r="D2110" s="338" t="s">
        <v>5404</v>
      </c>
      <c r="E2110" s="338" t="s">
        <v>5403</v>
      </c>
      <c r="F2110" s="338"/>
      <c r="G2110" s="338" t="s">
        <v>413</v>
      </c>
      <c r="H2110" s="338" t="s">
        <v>425</v>
      </c>
      <c r="I2110" s="338" t="s">
        <v>411</v>
      </c>
      <c r="J2110" s="339"/>
      <c r="K2110" s="339"/>
      <c r="L2110" s="339" t="s">
        <v>409</v>
      </c>
      <c r="M2110" s="339" t="s">
        <v>409</v>
      </c>
      <c r="N2110" s="338" t="s">
        <v>410</v>
      </c>
      <c r="O2110" s="338" t="s">
        <v>409</v>
      </c>
      <c r="P2110" s="338" t="s">
        <v>417</v>
      </c>
    </row>
    <row r="2111" spans="2:16" x14ac:dyDescent="0.25">
      <c r="B2111" s="336" t="s">
        <v>416</v>
      </c>
      <c r="C2111" s="337">
        <v>40207</v>
      </c>
      <c r="D2111" s="338" t="s">
        <v>5402</v>
      </c>
      <c r="E2111" s="338" t="s">
        <v>5401</v>
      </c>
      <c r="F2111" s="338"/>
      <c r="G2111" s="338" t="s">
        <v>413</v>
      </c>
      <c r="H2111" s="338" t="s">
        <v>412</v>
      </c>
      <c r="I2111" s="338" t="s">
        <v>411</v>
      </c>
      <c r="J2111" s="339"/>
      <c r="K2111" s="339"/>
      <c r="L2111" s="339" t="s">
        <v>409</v>
      </c>
      <c r="M2111" s="339" t="s">
        <v>409</v>
      </c>
      <c r="N2111" s="338" t="s">
        <v>417</v>
      </c>
      <c r="O2111" s="338" t="s">
        <v>409</v>
      </c>
      <c r="P2111" s="338" t="s">
        <v>417</v>
      </c>
    </row>
    <row r="2112" spans="2:16" x14ac:dyDescent="0.25">
      <c r="B2112" s="336" t="s">
        <v>416</v>
      </c>
      <c r="C2112" s="337">
        <v>40207</v>
      </c>
      <c r="D2112" s="338" t="s">
        <v>5400</v>
      </c>
      <c r="E2112" s="338" t="s">
        <v>2495</v>
      </c>
      <c r="F2112" s="338"/>
      <c r="G2112" s="338" t="s">
        <v>413</v>
      </c>
      <c r="H2112" s="338" t="s">
        <v>425</v>
      </c>
      <c r="I2112" s="338" t="s">
        <v>411</v>
      </c>
      <c r="J2112" s="339"/>
      <c r="K2112" s="339"/>
      <c r="L2112" s="339" t="s">
        <v>409</v>
      </c>
      <c r="M2112" s="339" t="s">
        <v>409</v>
      </c>
      <c r="N2112" s="338" t="s">
        <v>417</v>
      </c>
      <c r="O2112" s="338" t="s">
        <v>409</v>
      </c>
      <c r="P2112" s="338" t="s">
        <v>443</v>
      </c>
    </row>
    <row r="2113" spans="2:16" x14ac:dyDescent="0.25">
      <c r="B2113" s="336" t="s">
        <v>416</v>
      </c>
      <c r="C2113" s="337">
        <v>40206</v>
      </c>
      <c r="D2113" s="338" t="s">
        <v>5399</v>
      </c>
      <c r="E2113" s="338" t="s">
        <v>3375</v>
      </c>
      <c r="F2113" s="338" t="s">
        <v>5398</v>
      </c>
      <c r="G2113" s="338" t="s">
        <v>413</v>
      </c>
      <c r="H2113" s="338" t="s">
        <v>412</v>
      </c>
      <c r="I2113" s="338" t="s">
        <v>411</v>
      </c>
      <c r="J2113" s="339"/>
      <c r="K2113" s="339"/>
      <c r="L2113" s="339">
        <v>0.57444700000000004</v>
      </c>
      <c r="M2113" s="339">
        <v>3.8112400000000002</v>
      </c>
      <c r="N2113" s="338" t="s">
        <v>417</v>
      </c>
      <c r="O2113" s="338" t="s">
        <v>417</v>
      </c>
      <c r="P2113" s="338" t="s">
        <v>417</v>
      </c>
    </row>
    <row r="2114" spans="2:16" x14ac:dyDescent="0.25">
      <c r="B2114" s="336" t="s">
        <v>416</v>
      </c>
      <c r="C2114" s="337">
        <v>40206</v>
      </c>
      <c r="D2114" s="338" t="s">
        <v>956</v>
      </c>
      <c r="E2114" s="338" t="s">
        <v>5397</v>
      </c>
      <c r="F2114" s="338" t="s">
        <v>2508</v>
      </c>
      <c r="G2114" s="338" t="s">
        <v>413</v>
      </c>
      <c r="H2114" s="338" t="s">
        <v>425</v>
      </c>
      <c r="I2114" s="338" t="s">
        <v>411</v>
      </c>
      <c r="J2114" s="339"/>
      <c r="K2114" s="339"/>
      <c r="L2114" s="339">
        <v>3.50441</v>
      </c>
      <c r="M2114" s="339">
        <v>10.4954</v>
      </c>
      <c r="N2114" s="338"/>
      <c r="O2114" s="338" t="s">
        <v>443</v>
      </c>
      <c r="P2114" s="338" t="s">
        <v>417</v>
      </c>
    </row>
    <row r="2115" spans="2:16" x14ac:dyDescent="0.25">
      <c r="B2115" s="336" t="s">
        <v>416</v>
      </c>
      <c r="C2115" s="337">
        <v>40205</v>
      </c>
      <c r="D2115" s="338" t="s">
        <v>5396</v>
      </c>
      <c r="E2115" s="338" t="s">
        <v>5395</v>
      </c>
      <c r="F2115" s="338" t="s">
        <v>5394</v>
      </c>
      <c r="G2115" s="338" t="s">
        <v>413</v>
      </c>
      <c r="H2115" s="338" t="s">
        <v>425</v>
      </c>
      <c r="I2115" s="338" t="s">
        <v>411</v>
      </c>
      <c r="J2115" s="339"/>
      <c r="K2115" s="339"/>
      <c r="L2115" s="339"/>
      <c r="M2115" s="339"/>
      <c r="N2115" s="338"/>
      <c r="O2115" s="338" t="s">
        <v>417</v>
      </c>
      <c r="P2115" s="338" t="s">
        <v>487</v>
      </c>
    </row>
    <row r="2116" spans="2:16" x14ac:dyDescent="0.25">
      <c r="B2116" s="336" t="s">
        <v>459</v>
      </c>
      <c r="C2116" s="337">
        <v>40205</v>
      </c>
      <c r="D2116" s="338" t="s">
        <v>5393</v>
      </c>
      <c r="E2116" s="338" t="s">
        <v>5392</v>
      </c>
      <c r="F2116" s="338"/>
      <c r="G2116" s="338">
        <v>2</v>
      </c>
      <c r="H2116" s="338" t="s">
        <v>425</v>
      </c>
      <c r="I2116" s="338" t="s">
        <v>411</v>
      </c>
      <c r="J2116" s="339"/>
      <c r="K2116" s="339"/>
      <c r="L2116" s="339" t="s">
        <v>409</v>
      </c>
      <c r="M2116" s="339" t="s">
        <v>409</v>
      </c>
      <c r="N2116" s="338" t="s">
        <v>417</v>
      </c>
      <c r="O2116" s="338" t="s">
        <v>409</v>
      </c>
      <c r="P2116" s="338" t="s">
        <v>443</v>
      </c>
    </row>
    <row r="2117" spans="2:16" x14ac:dyDescent="0.25">
      <c r="B2117" s="336" t="s">
        <v>416</v>
      </c>
      <c r="C2117" s="337">
        <v>40204</v>
      </c>
      <c r="D2117" s="338" t="s">
        <v>5391</v>
      </c>
      <c r="E2117" s="338" t="s">
        <v>1452</v>
      </c>
      <c r="F2117" s="338"/>
      <c r="G2117" s="338" t="s">
        <v>413</v>
      </c>
      <c r="H2117" s="338" t="s">
        <v>425</v>
      </c>
      <c r="I2117" s="338" t="s">
        <v>411</v>
      </c>
      <c r="J2117" s="339"/>
      <c r="K2117" s="339"/>
      <c r="L2117" s="339" t="s">
        <v>409</v>
      </c>
      <c r="M2117" s="339" t="s">
        <v>409</v>
      </c>
      <c r="N2117" s="338"/>
      <c r="O2117" s="338" t="s">
        <v>409</v>
      </c>
      <c r="P2117" s="338" t="s">
        <v>417</v>
      </c>
    </row>
    <row r="2118" spans="2:16" x14ac:dyDescent="0.25">
      <c r="B2118" s="336" t="s">
        <v>416</v>
      </c>
      <c r="C2118" s="337">
        <v>40204</v>
      </c>
      <c r="D2118" s="338" t="s">
        <v>956</v>
      </c>
      <c r="E2118" s="338" t="s">
        <v>4793</v>
      </c>
      <c r="F2118" s="338" t="s">
        <v>5390</v>
      </c>
      <c r="G2118" s="338" t="s">
        <v>413</v>
      </c>
      <c r="H2118" s="338" t="s">
        <v>425</v>
      </c>
      <c r="I2118" s="338" t="s">
        <v>411</v>
      </c>
      <c r="J2118" s="339"/>
      <c r="K2118" s="339"/>
      <c r="L2118" s="339"/>
      <c r="M2118" s="339"/>
      <c r="N2118" s="338"/>
      <c r="O2118" s="338" t="s">
        <v>417</v>
      </c>
      <c r="P2118" s="338" t="s">
        <v>417</v>
      </c>
    </row>
    <row r="2119" spans="2:16" x14ac:dyDescent="0.25">
      <c r="B2119" s="336" t="s">
        <v>459</v>
      </c>
      <c r="C2119" s="337">
        <v>40204</v>
      </c>
      <c r="D2119" s="338" t="s">
        <v>5389</v>
      </c>
      <c r="E2119" s="338" t="s">
        <v>450</v>
      </c>
      <c r="F2119" s="338"/>
      <c r="G2119" s="338">
        <v>5.65</v>
      </c>
      <c r="H2119" s="338" t="s">
        <v>425</v>
      </c>
      <c r="I2119" s="338" t="s">
        <v>411</v>
      </c>
      <c r="J2119" s="339"/>
      <c r="K2119" s="339"/>
      <c r="L2119" s="339" t="s">
        <v>409</v>
      </c>
      <c r="M2119" s="339" t="s">
        <v>409</v>
      </c>
      <c r="N2119" s="338" t="s">
        <v>443</v>
      </c>
      <c r="O2119" s="338" t="s">
        <v>409</v>
      </c>
      <c r="P2119" s="338" t="s">
        <v>417</v>
      </c>
    </row>
    <row r="2120" spans="2:16" x14ac:dyDescent="0.25">
      <c r="B2120" s="336" t="s">
        <v>416</v>
      </c>
      <c r="C2120" s="337">
        <v>40200</v>
      </c>
      <c r="D2120" s="338" t="s">
        <v>5388</v>
      </c>
      <c r="E2120" s="338" t="s">
        <v>5387</v>
      </c>
      <c r="F2120" s="338" t="s">
        <v>5386</v>
      </c>
      <c r="G2120" s="338" t="s">
        <v>413</v>
      </c>
      <c r="H2120" s="338" t="s">
        <v>425</v>
      </c>
      <c r="I2120" s="338" t="s">
        <v>411</v>
      </c>
      <c r="J2120" s="339"/>
      <c r="K2120" s="339"/>
      <c r="L2120" s="339"/>
      <c r="M2120" s="339"/>
      <c r="N2120" s="338"/>
      <c r="O2120" s="338" t="s">
        <v>417</v>
      </c>
      <c r="P2120" s="338" t="s">
        <v>417</v>
      </c>
    </row>
    <row r="2121" spans="2:16" x14ac:dyDescent="0.25">
      <c r="B2121" s="336" t="s">
        <v>416</v>
      </c>
      <c r="C2121" s="337">
        <v>40200</v>
      </c>
      <c r="D2121" s="338" t="s">
        <v>601</v>
      </c>
      <c r="E2121" s="338" t="s">
        <v>5385</v>
      </c>
      <c r="F2121" s="338"/>
      <c r="G2121" s="338" t="s">
        <v>413</v>
      </c>
      <c r="H2121" s="338" t="s">
        <v>412</v>
      </c>
      <c r="I2121" s="338" t="s">
        <v>411</v>
      </c>
      <c r="J2121" s="339"/>
      <c r="K2121" s="339"/>
      <c r="L2121" s="339" t="s">
        <v>409</v>
      </c>
      <c r="M2121" s="339" t="s">
        <v>409</v>
      </c>
      <c r="N2121" s="338" t="s">
        <v>417</v>
      </c>
      <c r="O2121" s="338" t="s">
        <v>409</v>
      </c>
      <c r="P2121" s="338" t="s">
        <v>432</v>
      </c>
    </row>
    <row r="2122" spans="2:16" x14ac:dyDescent="0.25">
      <c r="B2122" s="336" t="s">
        <v>416</v>
      </c>
      <c r="C2122" s="337">
        <v>40200</v>
      </c>
      <c r="D2122" s="338" t="s">
        <v>5384</v>
      </c>
      <c r="E2122" s="338" t="s">
        <v>1619</v>
      </c>
      <c r="F2122" s="338" t="s">
        <v>4044</v>
      </c>
      <c r="G2122" s="338" t="s">
        <v>413</v>
      </c>
      <c r="H2122" s="338" t="s">
        <v>425</v>
      </c>
      <c r="I2122" s="338" t="s">
        <v>411</v>
      </c>
      <c r="J2122" s="339"/>
      <c r="K2122" s="339"/>
      <c r="L2122" s="339"/>
      <c r="M2122" s="339"/>
      <c r="N2122" s="338"/>
      <c r="O2122" s="338" t="s">
        <v>410</v>
      </c>
      <c r="P2122" s="338" t="s">
        <v>417</v>
      </c>
    </row>
    <row r="2123" spans="2:16" x14ac:dyDescent="0.25">
      <c r="B2123" s="336" t="s">
        <v>416</v>
      </c>
      <c r="C2123" s="337">
        <v>40199</v>
      </c>
      <c r="D2123" s="338" t="s">
        <v>956</v>
      </c>
      <c r="E2123" s="338" t="s">
        <v>5383</v>
      </c>
      <c r="F2123" s="338" t="s">
        <v>5382</v>
      </c>
      <c r="G2123" s="338" t="s">
        <v>413</v>
      </c>
      <c r="H2123" s="338" t="s">
        <v>425</v>
      </c>
      <c r="I2123" s="338" t="s">
        <v>411</v>
      </c>
      <c r="J2123" s="339"/>
      <c r="K2123" s="339"/>
      <c r="L2123" s="339"/>
      <c r="M2123" s="339"/>
      <c r="N2123" s="338"/>
      <c r="O2123" s="338" t="s">
        <v>410</v>
      </c>
      <c r="P2123" s="338" t="s">
        <v>410</v>
      </c>
    </row>
    <row r="2124" spans="2:16" x14ac:dyDescent="0.25">
      <c r="B2124" s="336" t="s">
        <v>1441</v>
      </c>
      <c r="C2124" s="337">
        <v>40199</v>
      </c>
      <c r="D2124" s="338" t="s">
        <v>5381</v>
      </c>
      <c r="E2124" s="338" t="s">
        <v>2133</v>
      </c>
      <c r="F2124" s="338"/>
      <c r="G2124" s="338" t="s">
        <v>413</v>
      </c>
      <c r="H2124" s="338" t="s">
        <v>412</v>
      </c>
      <c r="I2124" s="338" t="s">
        <v>411</v>
      </c>
      <c r="J2124" s="339">
        <v>4.3466300000000002</v>
      </c>
      <c r="K2124" s="339">
        <v>10.442299999999999</v>
      </c>
      <c r="L2124" s="339" t="s">
        <v>409</v>
      </c>
      <c r="M2124" s="339" t="s">
        <v>409</v>
      </c>
      <c r="N2124" s="338" t="s">
        <v>605</v>
      </c>
      <c r="O2124" s="338" t="s">
        <v>409</v>
      </c>
      <c r="P2124" s="338" t="s">
        <v>417</v>
      </c>
    </row>
    <row r="2125" spans="2:16" x14ac:dyDescent="0.25">
      <c r="B2125" s="336" t="s">
        <v>416</v>
      </c>
      <c r="C2125" s="337">
        <v>40198</v>
      </c>
      <c r="D2125" s="338" t="s">
        <v>945</v>
      </c>
      <c r="E2125" s="338" t="s">
        <v>5380</v>
      </c>
      <c r="F2125" s="338" t="s">
        <v>5379</v>
      </c>
      <c r="G2125" s="338" t="s">
        <v>413</v>
      </c>
      <c r="H2125" s="338" t="s">
        <v>425</v>
      </c>
      <c r="I2125" s="338" t="s">
        <v>411</v>
      </c>
      <c r="J2125" s="339"/>
      <c r="K2125" s="339"/>
      <c r="L2125" s="339"/>
      <c r="M2125" s="339"/>
      <c r="N2125" s="338"/>
      <c r="O2125" s="338" t="s">
        <v>417</v>
      </c>
      <c r="P2125" s="338" t="s">
        <v>417</v>
      </c>
    </row>
    <row r="2126" spans="2:16" x14ac:dyDescent="0.25">
      <c r="B2126" s="336" t="s">
        <v>416</v>
      </c>
      <c r="C2126" s="337">
        <v>40198</v>
      </c>
      <c r="D2126" s="338" t="s">
        <v>5378</v>
      </c>
      <c r="E2126" s="338" t="s">
        <v>5377</v>
      </c>
      <c r="F2126" s="338"/>
      <c r="G2126" s="338">
        <v>9.19</v>
      </c>
      <c r="H2126" s="338" t="s">
        <v>336</v>
      </c>
      <c r="I2126" s="338" t="s">
        <v>411</v>
      </c>
      <c r="J2126" s="339"/>
      <c r="K2126" s="339"/>
      <c r="L2126" s="339" t="s">
        <v>409</v>
      </c>
      <c r="M2126" s="339" t="s">
        <v>409</v>
      </c>
      <c r="N2126" s="338" t="s">
        <v>417</v>
      </c>
      <c r="O2126" s="338" t="s">
        <v>409</v>
      </c>
      <c r="P2126" s="338" t="s">
        <v>417</v>
      </c>
    </row>
    <row r="2127" spans="2:16" x14ac:dyDescent="0.25">
      <c r="B2127" s="336" t="s">
        <v>416</v>
      </c>
      <c r="C2127" s="337">
        <v>40198</v>
      </c>
      <c r="D2127" s="338" t="s">
        <v>5376</v>
      </c>
      <c r="E2127" s="338" t="s">
        <v>5375</v>
      </c>
      <c r="F2127" s="338"/>
      <c r="G2127" s="338" t="s">
        <v>413</v>
      </c>
      <c r="H2127" s="338" t="s">
        <v>412</v>
      </c>
      <c r="I2127" s="338" t="s">
        <v>411</v>
      </c>
      <c r="J2127" s="339"/>
      <c r="K2127" s="339"/>
      <c r="L2127" s="339" t="s">
        <v>409</v>
      </c>
      <c r="M2127" s="339" t="s">
        <v>409</v>
      </c>
      <c r="N2127" s="338" t="s">
        <v>605</v>
      </c>
      <c r="O2127" s="338" t="s">
        <v>409</v>
      </c>
      <c r="P2127" s="338" t="s">
        <v>432</v>
      </c>
    </row>
    <row r="2128" spans="2:16" x14ac:dyDescent="0.25">
      <c r="B2128" s="336" t="s">
        <v>416</v>
      </c>
      <c r="C2128" s="337">
        <v>40198</v>
      </c>
      <c r="D2128" s="338" t="s">
        <v>5374</v>
      </c>
      <c r="E2128" s="338" t="s">
        <v>1096</v>
      </c>
      <c r="F2128" s="338"/>
      <c r="G2128" s="338">
        <v>125</v>
      </c>
      <c r="H2128" s="338" t="s">
        <v>425</v>
      </c>
      <c r="I2128" s="338" t="s">
        <v>411</v>
      </c>
      <c r="J2128" s="339"/>
      <c r="K2128" s="339"/>
      <c r="L2128" s="339" t="s">
        <v>409</v>
      </c>
      <c r="M2128" s="339" t="s">
        <v>409</v>
      </c>
      <c r="N2128" s="338" t="s">
        <v>417</v>
      </c>
      <c r="O2128" s="338" t="s">
        <v>409</v>
      </c>
      <c r="P2128" s="338" t="s">
        <v>417</v>
      </c>
    </row>
    <row r="2129" spans="2:16" x14ac:dyDescent="0.25">
      <c r="B2129" s="336" t="s">
        <v>416</v>
      </c>
      <c r="C2129" s="337">
        <v>40197</v>
      </c>
      <c r="D2129" s="338" t="s">
        <v>5373</v>
      </c>
      <c r="E2129" s="338" t="s">
        <v>5372</v>
      </c>
      <c r="F2129" s="338" t="s">
        <v>5371</v>
      </c>
      <c r="G2129" s="338">
        <v>65</v>
      </c>
      <c r="H2129" s="338" t="s">
        <v>425</v>
      </c>
      <c r="I2129" s="338" t="s">
        <v>411</v>
      </c>
      <c r="J2129" s="339"/>
      <c r="K2129" s="339"/>
      <c r="L2129" s="339"/>
      <c r="M2129" s="339"/>
      <c r="N2129" s="338"/>
      <c r="O2129" s="338"/>
      <c r="P2129" s="338" t="s">
        <v>443</v>
      </c>
    </row>
    <row r="2130" spans="2:16" x14ac:dyDescent="0.25">
      <c r="B2130" s="336" t="s">
        <v>416</v>
      </c>
      <c r="C2130" s="337">
        <v>40197</v>
      </c>
      <c r="D2130" s="338" t="s">
        <v>5370</v>
      </c>
      <c r="E2130" s="338" t="s">
        <v>5369</v>
      </c>
      <c r="F2130" s="338" t="s">
        <v>5368</v>
      </c>
      <c r="G2130" s="338" t="s">
        <v>413</v>
      </c>
      <c r="H2130" s="338" t="s">
        <v>425</v>
      </c>
      <c r="I2130" s="338" t="s">
        <v>411</v>
      </c>
      <c r="J2130" s="339"/>
      <c r="K2130" s="339"/>
      <c r="L2130" s="339"/>
      <c r="M2130" s="339"/>
      <c r="N2130" s="338"/>
      <c r="O2130" s="338" t="s">
        <v>410</v>
      </c>
      <c r="P2130" s="338" t="s">
        <v>443</v>
      </c>
    </row>
    <row r="2131" spans="2:16" x14ac:dyDescent="0.25">
      <c r="B2131" s="336" t="s">
        <v>416</v>
      </c>
      <c r="C2131" s="337">
        <v>40197</v>
      </c>
      <c r="D2131" s="338" t="s">
        <v>1344</v>
      </c>
      <c r="E2131" s="338" t="s">
        <v>1313</v>
      </c>
      <c r="F2131" s="338" t="s">
        <v>4581</v>
      </c>
      <c r="G2131" s="338">
        <v>275</v>
      </c>
      <c r="H2131" s="338" t="s">
        <v>412</v>
      </c>
      <c r="I2131" s="338" t="s">
        <v>411</v>
      </c>
      <c r="J2131" s="339"/>
      <c r="K2131" s="339"/>
      <c r="L2131" s="339"/>
      <c r="M2131" s="339"/>
      <c r="N2131" s="338" t="s">
        <v>417</v>
      </c>
      <c r="O2131" s="338" t="s">
        <v>443</v>
      </c>
      <c r="P2131" s="338" t="s">
        <v>417</v>
      </c>
    </row>
    <row r="2132" spans="2:16" x14ac:dyDescent="0.25">
      <c r="B2132" s="336" t="s">
        <v>416</v>
      </c>
      <c r="C2132" s="337">
        <v>40197</v>
      </c>
      <c r="D2132" s="338" t="s">
        <v>5367</v>
      </c>
      <c r="E2132" s="338" t="s">
        <v>5366</v>
      </c>
      <c r="F2132" s="338" t="s">
        <v>2764</v>
      </c>
      <c r="G2132" s="338" t="s">
        <v>413</v>
      </c>
      <c r="H2132" s="338" t="s">
        <v>425</v>
      </c>
      <c r="I2132" s="338" t="s">
        <v>411</v>
      </c>
      <c r="J2132" s="339"/>
      <c r="K2132" s="339"/>
      <c r="L2132" s="339">
        <v>2.5831599999999999</v>
      </c>
      <c r="M2132" s="339">
        <v>418.44600000000003</v>
      </c>
      <c r="N2132" s="338"/>
      <c r="O2132" s="338" t="s">
        <v>417</v>
      </c>
      <c r="P2132" s="338" t="s">
        <v>417</v>
      </c>
    </row>
    <row r="2133" spans="2:16" x14ac:dyDescent="0.25">
      <c r="B2133" s="336" t="s">
        <v>459</v>
      </c>
      <c r="C2133" s="337">
        <v>40193</v>
      </c>
      <c r="D2133" s="338" t="s">
        <v>5365</v>
      </c>
      <c r="E2133" s="338" t="s">
        <v>669</v>
      </c>
      <c r="F2133" s="338"/>
      <c r="G2133" s="338">
        <v>1.22</v>
      </c>
      <c r="H2133" s="338" t="s">
        <v>425</v>
      </c>
      <c r="I2133" s="338" t="s">
        <v>411</v>
      </c>
      <c r="J2133" s="339"/>
      <c r="K2133" s="339"/>
      <c r="L2133" s="339" t="s">
        <v>409</v>
      </c>
      <c r="M2133" s="339" t="s">
        <v>409</v>
      </c>
      <c r="N2133" s="338" t="s">
        <v>487</v>
      </c>
      <c r="O2133" s="338" t="s">
        <v>409</v>
      </c>
      <c r="P2133" s="338"/>
    </row>
    <row r="2134" spans="2:16" x14ac:dyDescent="0.25">
      <c r="B2134" s="336" t="s">
        <v>416</v>
      </c>
      <c r="C2134" s="337">
        <v>40193</v>
      </c>
      <c r="D2134" s="338" t="s">
        <v>5364</v>
      </c>
      <c r="E2134" s="338" t="s">
        <v>5363</v>
      </c>
      <c r="F2134" s="338"/>
      <c r="G2134" s="338" t="s">
        <v>413</v>
      </c>
      <c r="H2134" s="338" t="s">
        <v>412</v>
      </c>
      <c r="I2134" s="338" t="s">
        <v>411</v>
      </c>
      <c r="J2134" s="339"/>
      <c r="K2134" s="339"/>
      <c r="L2134" s="339" t="s">
        <v>409</v>
      </c>
      <c r="M2134" s="339" t="s">
        <v>409</v>
      </c>
      <c r="N2134" s="338" t="s">
        <v>417</v>
      </c>
      <c r="O2134" s="338" t="s">
        <v>409</v>
      </c>
      <c r="P2134" s="338" t="s">
        <v>543</v>
      </c>
    </row>
    <row r="2135" spans="2:16" x14ac:dyDescent="0.25">
      <c r="B2135" s="336" t="s">
        <v>459</v>
      </c>
      <c r="C2135" s="337">
        <v>40193</v>
      </c>
      <c r="D2135" s="338" t="s">
        <v>4617</v>
      </c>
      <c r="E2135" s="338" t="s">
        <v>5362</v>
      </c>
      <c r="F2135" s="338"/>
      <c r="G2135" s="338">
        <v>10</v>
      </c>
      <c r="H2135" s="338" t="s">
        <v>425</v>
      </c>
      <c r="I2135" s="338" t="s">
        <v>411</v>
      </c>
      <c r="J2135" s="339"/>
      <c r="K2135" s="339"/>
      <c r="L2135" s="339" t="s">
        <v>409</v>
      </c>
      <c r="M2135" s="339" t="s">
        <v>409</v>
      </c>
      <c r="N2135" s="338" t="s">
        <v>605</v>
      </c>
      <c r="O2135" s="338" t="s">
        <v>409</v>
      </c>
      <c r="P2135" s="338"/>
    </row>
    <row r="2136" spans="2:16" x14ac:dyDescent="0.25">
      <c r="B2136" s="336" t="s">
        <v>416</v>
      </c>
      <c r="C2136" s="337">
        <v>40193</v>
      </c>
      <c r="D2136" s="338" t="s">
        <v>5361</v>
      </c>
      <c r="E2136" s="338" t="s">
        <v>905</v>
      </c>
      <c r="F2136" s="338"/>
      <c r="G2136" s="338" t="s">
        <v>413</v>
      </c>
      <c r="H2136" s="338" t="s">
        <v>425</v>
      </c>
      <c r="I2136" s="338" t="s">
        <v>411</v>
      </c>
      <c r="J2136" s="339"/>
      <c r="K2136" s="339"/>
      <c r="L2136" s="339" t="s">
        <v>409</v>
      </c>
      <c r="M2136" s="339" t="s">
        <v>409</v>
      </c>
      <c r="N2136" s="338"/>
      <c r="O2136" s="338" t="s">
        <v>409</v>
      </c>
      <c r="P2136" s="338" t="s">
        <v>417</v>
      </c>
    </row>
    <row r="2137" spans="2:16" x14ac:dyDescent="0.25">
      <c r="B2137" s="336" t="s">
        <v>416</v>
      </c>
      <c r="C2137" s="337">
        <v>40193</v>
      </c>
      <c r="D2137" s="338" t="s">
        <v>5360</v>
      </c>
      <c r="E2137" s="338" t="s">
        <v>5359</v>
      </c>
      <c r="F2137" s="338"/>
      <c r="G2137" s="338">
        <v>1832.17</v>
      </c>
      <c r="H2137" s="338" t="s">
        <v>425</v>
      </c>
      <c r="I2137" s="338" t="s">
        <v>411</v>
      </c>
      <c r="J2137" s="339">
        <v>2.1366499999999999</v>
      </c>
      <c r="K2137" s="339">
        <v>6.73482</v>
      </c>
      <c r="L2137" s="339" t="s">
        <v>409</v>
      </c>
      <c r="M2137" s="339" t="s">
        <v>409</v>
      </c>
      <c r="N2137" s="338" t="s">
        <v>410</v>
      </c>
      <c r="O2137" s="338" t="s">
        <v>409</v>
      </c>
      <c r="P2137" s="338" t="s">
        <v>410</v>
      </c>
    </row>
    <row r="2138" spans="2:16" x14ac:dyDescent="0.25">
      <c r="B2138" s="336" t="s">
        <v>416</v>
      </c>
      <c r="C2138" s="337">
        <v>40192</v>
      </c>
      <c r="D2138" s="338" t="s">
        <v>5358</v>
      </c>
      <c r="E2138" s="338" t="s">
        <v>5357</v>
      </c>
      <c r="F2138" s="338"/>
      <c r="G2138" s="338" t="s">
        <v>413</v>
      </c>
      <c r="H2138" s="338" t="s">
        <v>425</v>
      </c>
      <c r="I2138" s="338" t="s">
        <v>411</v>
      </c>
      <c r="J2138" s="339"/>
      <c r="K2138" s="339"/>
      <c r="L2138" s="339" t="s">
        <v>409</v>
      </c>
      <c r="M2138" s="339" t="s">
        <v>409</v>
      </c>
      <c r="N2138" s="338"/>
      <c r="O2138" s="338" t="s">
        <v>409</v>
      </c>
      <c r="P2138" s="338" t="s">
        <v>417</v>
      </c>
    </row>
    <row r="2139" spans="2:16" x14ac:dyDescent="0.25">
      <c r="B2139" s="336" t="s">
        <v>416</v>
      </c>
      <c r="C2139" s="337">
        <v>40191</v>
      </c>
      <c r="D2139" s="338" t="s">
        <v>5356</v>
      </c>
      <c r="E2139" s="338" t="s">
        <v>1619</v>
      </c>
      <c r="F2139" s="338" t="s">
        <v>5355</v>
      </c>
      <c r="G2139" s="338" t="s">
        <v>413</v>
      </c>
      <c r="H2139" s="338" t="s">
        <v>425</v>
      </c>
      <c r="I2139" s="338" t="s">
        <v>411</v>
      </c>
      <c r="J2139" s="339"/>
      <c r="K2139" s="339"/>
      <c r="L2139" s="339"/>
      <c r="M2139" s="339"/>
      <c r="N2139" s="338"/>
      <c r="O2139" s="338" t="s">
        <v>410</v>
      </c>
      <c r="P2139" s="338" t="s">
        <v>417</v>
      </c>
    </row>
    <row r="2140" spans="2:16" x14ac:dyDescent="0.25">
      <c r="B2140" s="336" t="s">
        <v>416</v>
      </c>
      <c r="C2140" s="337">
        <v>40191</v>
      </c>
      <c r="D2140" s="338" t="s">
        <v>5354</v>
      </c>
      <c r="E2140" s="338" t="s">
        <v>5353</v>
      </c>
      <c r="F2140" s="338" t="s">
        <v>5352</v>
      </c>
      <c r="G2140" s="338" t="s">
        <v>413</v>
      </c>
      <c r="H2140" s="338" t="s">
        <v>425</v>
      </c>
      <c r="I2140" s="338" t="s">
        <v>411</v>
      </c>
      <c r="J2140" s="339"/>
      <c r="K2140" s="339"/>
      <c r="L2140" s="339">
        <v>1.15402</v>
      </c>
      <c r="M2140" s="339">
        <v>5.9002699999999999</v>
      </c>
      <c r="N2140" s="338"/>
      <c r="O2140" s="338" t="s">
        <v>408</v>
      </c>
      <c r="P2140" s="338" t="s">
        <v>417</v>
      </c>
    </row>
    <row r="2141" spans="2:16" x14ac:dyDescent="0.25">
      <c r="B2141" s="336" t="s">
        <v>416</v>
      </c>
      <c r="C2141" s="337">
        <v>40190</v>
      </c>
      <c r="D2141" s="338" t="s">
        <v>956</v>
      </c>
      <c r="E2141" s="338" t="s">
        <v>1141</v>
      </c>
      <c r="F2141" s="338" t="s">
        <v>5351</v>
      </c>
      <c r="G2141" s="338" t="s">
        <v>413</v>
      </c>
      <c r="H2141" s="338" t="s">
        <v>425</v>
      </c>
      <c r="I2141" s="338" t="s">
        <v>411</v>
      </c>
      <c r="J2141" s="339"/>
      <c r="K2141" s="339"/>
      <c r="L2141" s="339"/>
      <c r="M2141" s="339"/>
      <c r="N2141" s="338"/>
      <c r="O2141" s="338" t="s">
        <v>410</v>
      </c>
      <c r="P2141" s="338" t="s">
        <v>417</v>
      </c>
    </row>
    <row r="2142" spans="2:16" x14ac:dyDescent="0.25">
      <c r="B2142" s="336" t="s">
        <v>416</v>
      </c>
      <c r="C2142" s="337">
        <v>40190</v>
      </c>
      <c r="D2142" s="338" t="s">
        <v>5350</v>
      </c>
      <c r="E2142" s="338" t="s">
        <v>441</v>
      </c>
      <c r="F2142" s="338" t="s">
        <v>5349</v>
      </c>
      <c r="G2142" s="338" t="s">
        <v>413</v>
      </c>
      <c r="H2142" s="338" t="s">
        <v>425</v>
      </c>
      <c r="I2142" s="338" t="s">
        <v>411</v>
      </c>
      <c r="J2142" s="339"/>
      <c r="K2142" s="339"/>
      <c r="L2142" s="339"/>
      <c r="M2142" s="339"/>
      <c r="N2142" s="338"/>
      <c r="O2142" s="338" t="s">
        <v>417</v>
      </c>
      <c r="P2142" s="338" t="s">
        <v>417</v>
      </c>
    </row>
    <row r="2143" spans="2:16" x14ac:dyDescent="0.25">
      <c r="B2143" s="336" t="s">
        <v>416</v>
      </c>
      <c r="C2143" s="337">
        <v>40189</v>
      </c>
      <c r="D2143" s="338" t="s">
        <v>5348</v>
      </c>
      <c r="E2143" s="338" t="s">
        <v>1603</v>
      </c>
      <c r="F2143" s="338"/>
      <c r="G2143" s="338" t="s">
        <v>413</v>
      </c>
      <c r="H2143" s="338" t="s">
        <v>412</v>
      </c>
      <c r="I2143" s="338" t="s">
        <v>411</v>
      </c>
      <c r="J2143" s="339"/>
      <c r="K2143" s="339"/>
      <c r="L2143" s="339" t="s">
        <v>409</v>
      </c>
      <c r="M2143" s="339" t="s">
        <v>409</v>
      </c>
      <c r="N2143" s="338" t="s">
        <v>417</v>
      </c>
      <c r="O2143" s="338" t="s">
        <v>409</v>
      </c>
      <c r="P2143" s="338" t="s">
        <v>443</v>
      </c>
    </row>
    <row r="2144" spans="2:16" x14ac:dyDescent="0.25">
      <c r="B2144" s="336" t="s">
        <v>416</v>
      </c>
      <c r="C2144" s="337">
        <v>40189</v>
      </c>
      <c r="D2144" s="338" t="s">
        <v>1222</v>
      </c>
      <c r="E2144" s="338" t="s">
        <v>2648</v>
      </c>
      <c r="F2144" s="338"/>
      <c r="G2144" s="338">
        <v>361.3</v>
      </c>
      <c r="H2144" s="338" t="s">
        <v>412</v>
      </c>
      <c r="I2144" s="338" t="s">
        <v>411</v>
      </c>
      <c r="J2144" s="339">
        <v>0.51140300000000005</v>
      </c>
      <c r="K2144" s="339"/>
      <c r="L2144" s="339" t="s">
        <v>409</v>
      </c>
      <c r="M2144" s="339" t="s">
        <v>409</v>
      </c>
      <c r="N2144" s="338" t="s">
        <v>417</v>
      </c>
      <c r="O2144" s="338" t="s">
        <v>409</v>
      </c>
      <c r="P2144" s="338" t="s">
        <v>443</v>
      </c>
    </row>
    <row r="2145" spans="2:16" x14ac:dyDescent="0.25">
      <c r="B2145" s="336" t="s">
        <v>416</v>
      </c>
      <c r="C2145" s="337">
        <v>40189</v>
      </c>
      <c r="D2145" s="338" t="s">
        <v>5347</v>
      </c>
      <c r="E2145" s="338" t="s">
        <v>656</v>
      </c>
      <c r="F2145" s="338" t="s">
        <v>5346</v>
      </c>
      <c r="G2145" s="338">
        <v>65</v>
      </c>
      <c r="H2145" s="338" t="s">
        <v>425</v>
      </c>
      <c r="I2145" s="338" t="s">
        <v>411</v>
      </c>
      <c r="J2145" s="339"/>
      <c r="K2145" s="339"/>
      <c r="L2145" s="339">
        <v>1.69051</v>
      </c>
      <c r="M2145" s="339">
        <v>10.8644</v>
      </c>
      <c r="N2145" s="338"/>
      <c r="O2145" s="338" t="s">
        <v>885</v>
      </c>
      <c r="P2145" s="338" t="s">
        <v>408</v>
      </c>
    </row>
    <row r="2146" spans="2:16" x14ac:dyDescent="0.25">
      <c r="B2146" s="336" t="s">
        <v>416</v>
      </c>
      <c r="C2146" s="337">
        <v>40187</v>
      </c>
      <c r="D2146" s="338" t="s">
        <v>5345</v>
      </c>
      <c r="E2146" s="338" t="s">
        <v>5344</v>
      </c>
      <c r="F2146" s="338"/>
      <c r="G2146" s="338" t="s">
        <v>413</v>
      </c>
      <c r="H2146" s="338" t="s">
        <v>412</v>
      </c>
      <c r="I2146" s="338" t="s">
        <v>411</v>
      </c>
      <c r="J2146" s="339"/>
      <c r="K2146" s="339"/>
      <c r="L2146" s="339" t="s">
        <v>409</v>
      </c>
      <c r="M2146" s="339" t="s">
        <v>409</v>
      </c>
      <c r="N2146" s="338" t="s">
        <v>417</v>
      </c>
      <c r="O2146" s="338" t="s">
        <v>409</v>
      </c>
      <c r="P2146" s="338" t="s">
        <v>417</v>
      </c>
    </row>
    <row r="2147" spans="2:16" x14ac:dyDescent="0.25">
      <c r="B2147" s="336" t="s">
        <v>416</v>
      </c>
      <c r="C2147" s="337">
        <v>40186</v>
      </c>
      <c r="D2147" s="338" t="s">
        <v>956</v>
      </c>
      <c r="E2147" s="338" t="s">
        <v>5343</v>
      </c>
      <c r="F2147" s="338" t="s">
        <v>1032</v>
      </c>
      <c r="G2147" s="338" t="s">
        <v>413</v>
      </c>
      <c r="H2147" s="338" t="s">
        <v>425</v>
      </c>
      <c r="I2147" s="338" t="s">
        <v>411</v>
      </c>
      <c r="J2147" s="339"/>
      <c r="K2147" s="339"/>
      <c r="L2147" s="339">
        <v>2.6935500000000001</v>
      </c>
      <c r="M2147" s="339">
        <v>12.8904</v>
      </c>
      <c r="N2147" s="338"/>
      <c r="O2147" s="338" t="s">
        <v>417</v>
      </c>
      <c r="P2147" s="338" t="s">
        <v>417</v>
      </c>
    </row>
    <row r="2148" spans="2:16" x14ac:dyDescent="0.25">
      <c r="B2148" s="336" t="s">
        <v>459</v>
      </c>
      <c r="C2148" s="337">
        <v>40186</v>
      </c>
      <c r="D2148" s="338" t="s">
        <v>1442</v>
      </c>
      <c r="E2148" s="338" t="s">
        <v>625</v>
      </c>
      <c r="F2148" s="338"/>
      <c r="G2148" s="338">
        <v>22</v>
      </c>
      <c r="H2148" s="338" t="s">
        <v>425</v>
      </c>
      <c r="I2148" s="338" t="s">
        <v>411</v>
      </c>
      <c r="J2148" s="339">
        <v>0.63890100000000005</v>
      </c>
      <c r="K2148" s="339">
        <v>11.092000000000001</v>
      </c>
      <c r="L2148" s="339" t="s">
        <v>409</v>
      </c>
      <c r="M2148" s="339" t="s">
        <v>409</v>
      </c>
      <c r="N2148" s="338" t="s">
        <v>417</v>
      </c>
      <c r="O2148" s="338" t="s">
        <v>409</v>
      </c>
      <c r="P2148" s="338" t="s">
        <v>443</v>
      </c>
    </row>
    <row r="2149" spans="2:16" x14ac:dyDescent="0.25">
      <c r="B2149" s="336" t="s">
        <v>416</v>
      </c>
      <c r="C2149" s="337">
        <v>40186</v>
      </c>
      <c r="D2149" s="338" t="s">
        <v>5342</v>
      </c>
      <c r="E2149" s="338" t="s">
        <v>5341</v>
      </c>
      <c r="F2149" s="338" t="s">
        <v>5340</v>
      </c>
      <c r="G2149" s="338">
        <v>49.5</v>
      </c>
      <c r="H2149" s="338" t="s">
        <v>425</v>
      </c>
      <c r="I2149" s="338" t="s">
        <v>411</v>
      </c>
      <c r="J2149" s="339"/>
      <c r="K2149" s="339"/>
      <c r="L2149" s="339"/>
      <c r="M2149" s="339"/>
      <c r="N2149" s="338"/>
      <c r="O2149" s="338" t="s">
        <v>417</v>
      </c>
      <c r="P2149" s="338" t="s">
        <v>417</v>
      </c>
    </row>
    <row r="2150" spans="2:16" x14ac:dyDescent="0.25">
      <c r="B2150" s="336" t="s">
        <v>416</v>
      </c>
      <c r="C2150" s="337">
        <v>40186</v>
      </c>
      <c r="D2150" s="338" t="s">
        <v>5339</v>
      </c>
      <c r="E2150" s="338" t="s">
        <v>5338</v>
      </c>
      <c r="F2150" s="338" t="s">
        <v>5337</v>
      </c>
      <c r="G2150" s="338" t="s">
        <v>413</v>
      </c>
      <c r="H2150" s="338" t="s">
        <v>425</v>
      </c>
      <c r="I2150" s="338" t="s">
        <v>411</v>
      </c>
      <c r="J2150" s="339"/>
      <c r="K2150" s="339"/>
      <c r="L2150" s="339"/>
      <c r="M2150" s="339"/>
      <c r="N2150" s="338"/>
      <c r="O2150" s="338" t="s">
        <v>432</v>
      </c>
      <c r="P2150" s="338" t="s">
        <v>417</v>
      </c>
    </row>
    <row r="2151" spans="2:16" x14ac:dyDescent="0.25">
      <c r="B2151" s="336" t="s">
        <v>416</v>
      </c>
      <c r="C2151" s="337">
        <v>40186</v>
      </c>
      <c r="D2151" s="338" t="s">
        <v>5336</v>
      </c>
      <c r="E2151" s="338" t="s">
        <v>5335</v>
      </c>
      <c r="F2151" s="338" t="s">
        <v>5334</v>
      </c>
      <c r="G2151" s="338" t="s">
        <v>413</v>
      </c>
      <c r="H2151" s="338" t="s">
        <v>412</v>
      </c>
      <c r="I2151" s="338" t="s">
        <v>411</v>
      </c>
      <c r="J2151" s="339"/>
      <c r="K2151" s="339"/>
      <c r="L2151" s="339">
        <v>0.20965600000000001</v>
      </c>
      <c r="M2151" s="339"/>
      <c r="N2151" s="338" t="s">
        <v>605</v>
      </c>
      <c r="O2151" s="338" t="s">
        <v>417</v>
      </c>
      <c r="P2151" s="338" t="s">
        <v>605</v>
      </c>
    </row>
    <row r="2152" spans="2:16" x14ac:dyDescent="0.25">
      <c r="B2152" s="336" t="s">
        <v>416</v>
      </c>
      <c r="C2152" s="337">
        <v>40186</v>
      </c>
      <c r="D2152" s="338" t="s">
        <v>5333</v>
      </c>
      <c r="E2152" s="338" t="s">
        <v>2444</v>
      </c>
      <c r="F2152" s="338" t="s">
        <v>1670</v>
      </c>
      <c r="G2152" s="338" t="s">
        <v>413</v>
      </c>
      <c r="H2152" s="338" t="s">
        <v>425</v>
      </c>
      <c r="I2152" s="338" t="s">
        <v>411</v>
      </c>
      <c r="J2152" s="339"/>
      <c r="K2152" s="339"/>
      <c r="L2152" s="339">
        <v>1.64849</v>
      </c>
      <c r="M2152" s="339">
        <v>11.5427</v>
      </c>
      <c r="N2152" s="338"/>
      <c r="O2152" s="338" t="s">
        <v>410</v>
      </c>
      <c r="P2152" s="338" t="s">
        <v>417</v>
      </c>
    </row>
    <row r="2153" spans="2:16" x14ac:dyDescent="0.25">
      <c r="B2153" s="336" t="s">
        <v>416</v>
      </c>
      <c r="C2153" s="337">
        <v>40185</v>
      </c>
      <c r="D2153" s="338" t="s">
        <v>5332</v>
      </c>
      <c r="E2153" s="338" t="s">
        <v>5331</v>
      </c>
      <c r="F2153" s="338" t="s">
        <v>5330</v>
      </c>
      <c r="G2153" s="338" t="s">
        <v>413</v>
      </c>
      <c r="H2153" s="338" t="s">
        <v>412</v>
      </c>
      <c r="I2153" s="338" t="s">
        <v>411</v>
      </c>
      <c r="J2153" s="339"/>
      <c r="K2153" s="339"/>
      <c r="L2153" s="339"/>
      <c r="M2153" s="339"/>
      <c r="N2153" s="338"/>
      <c r="O2153" s="338" t="s">
        <v>443</v>
      </c>
      <c r="P2153" s="338" t="s">
        <v>443</v>
      </c>
    </row>
    <row r="2154" spans="2:16" x14ac:dyDescent="0.25">
      <c r="B2154" s="336" t="s">
        <v>416</v>
      </c>
      <c r="C2154" s="337">
        <v>40183</v>
      </c>
      <c r="D2154" s="338" t="s">
        <v>5329</v>
      </c>
      <c r="E2154" s="338" t="s">
        <v>1217</v>
      </c>
      <c r="F2154" s="338"/>
      <c r="G2154" s="338" t="s">
        <v>413</v>
      </c>
      <c r="H2154" s="338" t="s">
        <v>412</v>
      </c>
      <c r="I2154" s="338" t="s">
        <v>411</v>
      </c>
      <c r="J2154" s="339"/>
      <c r="K2154" s="339"/>
      <c r="L2154" s="339" t="s">
        <v>409</v>
      </c>
      <c r="M2154" s="339" t="s">
        <v>409</v>
      </c>
      <c r="N2154" s="338"/>
      <c r="O2154" s="338" t="s">
        <v>409</v>
      </c>
      <c r="P2154" s="338" t="s">
        <v>410</v>
      </c>
    </row>
    <row r="2155" spans="2:16" x14ac:dyDescent="0.25">
      <c r="B2155" s="336" t="s">
        <v>416</v>
      </c>
      <c r="C2155" s="337">
        <v>40182</v>
      </c>
      <c r="D2155" s="338" t="s">
        <v>5328</v>
      </c>
      <c r="E2155" s="338" t="s">
        <v>656</v>
      </c>
      <c r="F2155" s="338"/>
      <c r="G2155" s="338">
        <v>60</v>
      </c>
      <c r="H2155" s="338" t="s">
        <v>425</v>
      </c>
      <c r="I2155" s="338" t="s">
        <v>411</v>
      </c>
      <c r="J2155" s="339"/>
      <c r="K2155" s="339"/>
      <c r="L2155" s="339" t="s">
        <v>409</v>
      </c>
      <c r="M2155" s="339" t="s">
        <v>409</v>
      </c>
      <c r="N2155" s="338" t="s">
        <v>408</v>
      </c>
      <c r="O2155" s="338" t="s">
        <v>409</v>
      </c>
      <c r="P2155" s="338" t="s">
        <v>408</v>
      </c>
    </row>
    <row r="2156" spans="2:16" x14ac:dyDescent="0.25">
      <c r="B2156" s="336" t="s">
        <v>416</v>
      </c>
      <c r="C2156" s="337">
        <v>40182</v>
      </c>
      <c r="D2156" s="338" t="s">
        <v>5327</v>
      </c>
      <c r="E2156" s="338" t="s">
        <v>5326</v>
      </c>
      <c r="F2156" s="338" t="s">
        <v>1374</v>
      </c>
      <c r="G2156" s="338" t="s">
        <v>413</v>
      </c>
      <c r="H2156" s="338" t="s">
        <v>425</v>
      </c>
      <c r="I2156" s="338" t="s">
        <v>411</v>
      </c>
      <c r="J2156" s="339"/>
      <c r="K2156" s="339"/>
      <c r="L2156" s="339"/>
      <c r="M2156" s="339"/>
      <c r="N2156" s="338"/>
      <c r="O2156" s="338" t="s">
        <v>410</v>
      </c>
      <c r="P2156" s="338" t="s">
        <v>410</v>
      </c>
    </row>
    <row r="2157" spans="2:16" x14ac:dyDescent="0.25">
      <c r="B2157" s="336" t="s">
        <v>416</v>
      </c>
      <c r="C2157" s="337">
        <v>40178</v>
      </c>
      <c r="D2157" s="338" t="s">
        <v>5325</v>
      </c>
      <c r="E2157" s="338" t="s">
        <v>656</v>
      </c>
      <c r="F2157" s="338" t="s">
        <v>5324</v>
      </c>
      <c r="G2157" s="338">
        <v>223</v>
      </c>
      <c r="H2157" s="338" t="s">
        <v>412</v>
      </c>
      <c r="I2157" s="338" t="s">
        <v>411</v>
      </c>
      <c r="J2157" s="339"/>
      <c r="K2157" s="339"/>
      <c r="L2157" s="339"/>
      <c r="M2157" s="339"/>
      <c r="N2157" s="338"/>
      <c r="O2157" s="338" t="s">
        <v>443</v>
      </c>
      <c r="P2157" s="338" t="s">
        <v>408</v>
      </c>
    </row>
    <row r="2158" spans="2:16" x14ac:dyDescent="0.25">
      <c r="B2158" s="336" t="s">
        <v>416</v>
      </c>
      <c r="C2158" s="337">
        <v>40177</v>
      </c>
      <c r="D2158" s="338" t="s">
        <v>1006</v>
      </c>
      <c r="E2158" s="338" t="s">
        <v>5323</v>
      </c>
      <c r="F2158" s="338"/>
      <c r="G2158" s="338">
        <v>37.25</v>
      </c>
      <c r="H2158" s="338" t="s">
        <v>425</v>
      </c>
      <c r="I2158" s="338" t="s">
        <v>411</v>
      </c>
      <c r="J2158" s="339">
        <v>4.4876199999999998E-2</v>
      </c>
      <c r="K2158" s="339">
        <v>90.650599999999997</v>
      </c>
      <c r="L2158" s="339" t="s">
        <v>409</v>
      </c>
      <c r="M2158" s="339" t="s">
        <v>409</v>
      </c>
      <c r="N2158" s="338" t="s">
        <v>417</v>
      </c>
      <c r="O2158" s="338" t="s">
        <v>409</v>
      </c>
      <c r="P2158" s="338" t="s">
        <v>408</v>
      </c>
    </row>
    <row r="2159" spans="2:16" x14ac:dyDescent="0.25">
      <c r="B2159" s="336" t="s">
        <v>416</v>
      </c>
      <c r="C2159" s="337">
        <v>40177</v>
      </c>
      <c r="D2159" s="338" t="s">
        <v>5322</v>
      </c>
      <c r="E2159" s="338" t="s">
        <v>5321</v>
      </c>
      <c r="F2159" s="338" t="s">
        <v>5320</v>
      </c>
      <c r="G2159" s="338">
        <v>5.43</v>
      </c>
      <c r="H2159" s="338" t="s">
        <v>425</v>
      </c>
      <c r="I2159" s="338" t="s">
        <v>411</v>
      </c>
      <c r="J2159" s="339"/>
      <c r="K2159" s="339"/>
      <c r="L2159" s="339">
        <v>16.689</v>
      </c>
      <c r="M2159" s="339"/>
      <c r="N2159" s="338" t="s">
        <v>410</v>
      </c>
      <c r="O2159" s="338" t="s">
        <v>410</v>
      </c>
      <c r="P2159" s="338" t="s">
        <v>417</v>
      </c>
    </row>
    <row r="2160" spans="2:16" x14ac:dyDescent="0.25">
      <c r="B2160" s="336" t="s">
        <v>416</v>
      </c>
      <c r="C2160" s="337">
        <v>40176</v>
      </c>
      <c r="D2160" s="338" t="s">
        <v>5176</v>
      </c>
      <c r="E2160" s="338" t="s">
        <v>5319</v>
      </c>
      <c r="F2160" s="338"/>
      <c r="G2160" s="338" t="s">
        <v>413</v>
      </c>
      <c r="H2160" s="338" t="s">
        <v>336</v>
      </c>
      <c r="I2160" s="338" t="s">
        <v>411</v>
      </c>
      <c r="J2160" s="339"/>
      <c r="K2160" s="339"/>
      <c r="L2160" s="339" t="s">
        <v>409</v>
      </c>
      <c r="M2160" s="339" t="s">
        <v>409</v>
      </c>
      <c r="N2160" s="338" t="s">
        <v>605</v>
      </c>
      <c r="O2160" s="338" t="s">
        <v>409</v>
      </c>
      <c r="P2160" s="338" t="s">
        <v>417</v>
      </c>
    </row>
    <row r="2161" spans="2:16" x14ac:dyDescent="0.25">
      <c r="B2161" s="336" t="s">
        <v>416</v>
      </c>
      <c r="C2161" s="337">
        <v>40176</v>
      </c>
      <c r="D2161" s="338" t="s">
        <v>5318</v>
      </c>
      <c r="E2161" s="338" t="s">
        <v>5317</v>
      </c>
      <c r="F2161" s="338" t="s">
        <v>2562</v>
      </c>
      <c r="G2161" s="338">
        <v>28.5</v>
      </c>
      <c r="H2161" s="338" t="s">
        <v>418</v>
      </c>
      <c r="I2161" s="338" t="s">
        <v>411</v>
      </c>
      <c r="J2161" s="339"/>
      <c r="K2161" s="339"/>
      <c r="L2161" s="339">
        <v>25.422599999999999</v>
      </c>
      <c r="M2161" s="339"/>
      <c r="N2161" s="338" t="s">
        <v>417</v>
      </c>
      <c r="O2161" s="338" t="s">
        <v>432</v>
      </c>
      <c r="P2161" s="338" t="s">
        <v>432</v>
      </c>
    </row>
    <row r="2162" spans="2:16" x14ac:dyDescent="0.25">
      <c r="B2162" s="336" t="s">
        <v>459</v>
      </c>
      <c r="C2162" s="337">
        <v>40176</v>
      </c>
      <c r="D2162" s="338" t="s">
        <v>5316</v>
      </c>
      <c r="E2162" s="338" t="s">
        <v>5315</v>
      </c>
      <c r="F2162" s="338"/>
      <c r="G2162" s="338">
        <v>3.7</v>
      </c>
      <c r="H2162" s="338" t="s">
        <v>425</v>
      </c>
      <c r="I2162" s="338" t="s">
        <v>411</v>
      </c>
      <c r="J2162" s="339"/>
      <c r="K2162" s="339"/>
      <c r="L2162" s="339" t="s">
        <v>409</v>
      </c>
      <c r="M2162" s="339" t="s">
        <v>409</v>
      </c>
      <c r="N2162" s="338" t="s">
        <v>410</v>
      </c>
      <c r="O2162" s="338" t="s">
        <v>409</v>
      </c>
      <c r="P2162" s="338"/>
    </row>
    <row r="2163" spans="2:16" x14ac:dyDescent="0.25">
      <c r="B2163" s="336" t="s">
        <v>416</v>
      </c>
      <c r="C2163" s="337">
        <v>40175</v>
      </c>
      <c r="D2163" s="338" t="s">
        <v>5314</v>
      </c>
      <c r="E2163" s="338" t="s">
        <v>5313</v>
      </c>
      <c r="F2163" s="338"/>
      <c r="G2163" s="338" t="s">
        <v>413</v>
      </c>
      <c r="H2163" s="338" t="s">
        <v>336</v>
      </c>
      <c r="I2163" s="338" t="s">
        <v>411</v>
      </c>
      <c r="J2163" s="339"/>
      <c r="K2163" s="339"/>
      <c r="L2163" s="339" t="s">
        <v>409</v>
      </c>
      <c r="M2163" s="339" t="s">
        <v>409</v>
      </c>
      <c r="N2163" s="338" t="s">
        <v>482</v>
      </c>
      <c r="O2163" s="338" t="s">
        <v>409</v>
      </c>
      <c r="P2163" s="338" t="s">
        <v>487</v>
      </c>
    </row>
    <row r="2164" spans="2:16" x14ac:dyDescent="0.25">
      <c r="B2164" s="336" t="s">
        <v>416</v>
      </c>
      <c r="C2164" s="337">
        <v>40168</v>
      </c>
      <c r="D2164" s="338" t="s">
        <v>5312</v>
      </c>
      <c r="E2164" s="338" t="s">
        <v>485</v>
      </c>
      <c r="F2164" s="338"/>
      <c r="G2164" s="338">
        <v>5.2</v>
      </c>
      <c r="H2164" s="338" t="s">
        <v>418</v>
      </c>
      <c r="I2164" s="338" t="s">
        <v>411</v>
      </c>
      <c r="J2164" s="339"/>
      <c r="K2164" s="339"/>
      <c r="L2164" s="339" t="s">
        <v>409</v>
      </c>
      <c r="M2164" s="339" t="s">
        <v>409</v>
      </c>
      <c r="N2164" s="338" t="s">
        <v>417</v>
      </c>
      <c r="O2164" s="338" t="s">
        <v>409</v>
      </c>
      <c r="P2164" s="338" t="s">
        <v>417</v>
      </c>
    </row>
    <row r="2165" spans="2:16" x14ac:dyDescent="0.25">
      <c r="B2165" s="336" t="s">
        <v>416</v>
      </c>
      <c r="C2165" s="337">
        <v>40168</v>
      </c>
      <c r="D2165" s="338" t="s">
        <v>1743</v>
      </c>
      <c r="E2165" s="338" t="s">
        <v>5311</v>
      </c>
      <c r="F2165" s="338"/>
      <c r="G2165" s="338">
        <v>2121.09</v>
      </c>
      <c r="H2165" s="338" t="s">
        <v>425</v>
      </c>
      <c r="I2165" s="338" t="s">
        <v>411</v>
      </c>
      <c r="J2165" s="339">
        <v>3.3931</v>
      </c>
      <c r="K2165" s="339">
        <v>9.5134500000000006</v>
      </c>
      <c r="L2165" s="339" t="s">
        <v>409</v>
      </c>
      <c r="M2165" s="339" t="s">
        <v>409</v>
      </c>
      <c r="N2165" s="338" t="s">
        <v>410</v>
      </c>
      <c r="O2165" s="338" t="s">
        <v>409</v>
      </c>
      <c r="P2165" s="338" t="s">
        <v>410</v>
      </c>
    </row>
    <row r="2166" spans="2:16" x14ac:dyDescent="0.25">
      <c r="B2166" s="336" t="s">
        <v>416</v>
      </c>
      <c r="C2166" s="337">
        <v>40168</v>
      </c>
      <c r="D2166" s="338" t="s">
        <v>5310</v>
      </c>
      <c r="E2166" s="338" t="s">
        <v>5271</v>
      </c>
      <c r="F2166" s="338" t="s">
        <v>4009</v>
      </c>
      <c r="G2166" s="338" t="s">
        <v>413</v>
      </c>
      <c r="H2166" s="338" t="s">
        <v>425</v>
      </c>
      <c r="I2166" s="338" t="s">
        <v>411</v>
      </c>
      <c r="J2166" s="339"/>
      <c r="K2166" s="339"/>
      <c r="L2166" s="339"/>
      <c r="M2166" s="339"/>
      <c r="N2166" s="338"/>
      <c r="O2166" s="338" t="s">
        <v>417</v>
      </c>
      <c r="P2166" s="338" t="s">
        <v>417</v>
      </c>
    </row>
    <row r="2167" spans="2:16" x14ac:dyDescent="0.25">
      <c r="B2167" s="336" t="s">
        <v>416</v>
      </c>
      <c r="C2167" s="337">
        <v>40168</v>
      </c>
      <c r="D2167" s="338" t="s">
        <v>5309</v>
      </c>
      <c r="E2167" s="338" t="s">
        <v>1026</v>
      </c>
      <c r="F2167" s="338"/>
      <c r="G2167" s="338">
        <v>121</v>
      </c>
      <c r="H2167" s="338" t="s">
        <v>425</v>
      </c>
      <c r="I2167" s="338" t="s">
        <v>411</v>
      </c>
      <c r="J2167" s="339"/>
      <c r="K2167" s="339"/>
      <c r="L2167" s="339" t="s">
        <v>409</v>
      </c>
      <c r="M2167" s="339" t="s">
        <v>409</v>
      </c>
      <c r="N2167" s="338"/>
      <c r="O2167" s="338" t="s">
        <v>409</v>
      </c>
      <c r="P2167" s="338" t="s">
        <v>443</v>
      </c>
    </row>
    <row r="2168" spans="2:16" x14ac:dyDescent="0.25">
      <c r="B2168" s="336" t="s">
        <v>416</v>
      </c>
      <c r="C2168" s="337">
        <v>40165</v>
      </c>
      <c r="D2168" s="338" t="s">
        <v>5308</v>
      </c>
      <c r="E2168" s="338" t="s">
        <v>5307</v>
      </c>
      <c r="F2168" s="338" t="s">
        <v>5306</v>
      </c>
      <c r="G2168" s="338">
        <v>6.8</v>
      </c>
      <c r="H2168" s="338" t="s">
        <v>425</v>
      </c>
      <c r="I2168" s="338" t="s">
        <v>411</v>
      </c>
      <c r="J2168" s="339"/>
      <c r="K2168" s="339"/>
      <c r="L2168" s="339"/>
      <c r="M2168" s="339"/>
      <c r="N2168" s="338"/>
      <c r="O2168" s="338" t="s">
        <v>410</v>
      </c>
      <c r="P2168" s="338" t="s">
        <v>417</v>
      </c>
    </row>
    <row r="2169" spans="2:16" x14ac:dyDescent="0.25">
      <c r="B2169" s="336" t="s">
        <v>459</v>
      </c>
      <c r="C2169" s="337">
        <v>40164</v>
      </c>
      <c r="D2169" s="338" t="s">
        <v>2866</v>
      </c>
      <c r="E2169" s="338" t="s">
        <v>5305</v>
      </c>
      <c r="F2169" s="338"/>
      <c r="G2169" s="338">
        <v>10.3</v>
      </c>
      <c r="H2169" s="338" t="s">
        <v>425</v>
      </c>
      <c r="I2169" s="338" t="s">
        <v>411</v>
      </c>
      <c r="J2169" s="339"/>
      <c r="K2169" s="339"/>
      <c r="L2169" s="339" t="s">
        <v>409</v>
      </c>
      <c r="M2169" s="339" t="s">
        <v>409</v>
      </c>
      <c r="N2169" s="338" t="s">
        <v>417</v>
      </c>
      <c r="O2169" s="338" t="s">
        <v>409</v>
      </c>
      <c r="P2169" s="338"/>
    </row>
    <row r="2170" spans="2:16" x14ac:dyDescent="0.25">
      <c r="B2170" s="336" t="s">
        <v>416</v>
      </c>
      <c r="C2170" s="337">
        <v>40164</v>
      </c>
      <c r="D2170" s="338" t="s">
        <v>2864</v>
      </c>
      <c r="E2170" s="338" t="s">
        <v>889</v>
      </c>
      <c r="F2170" s="338"/>
      <c r="G2170" s="338" t="s">
        <v>413</v>
      </c>
      <c r="H2170" s="338" t="s">
        <v>412</v>
      </c>
      <c r="I2170" s="338" t="s">
        <v>411</v>
      </c>
      <c r="J2170" s="339"/>
      <c r="K2170" s="339"/>
      <c r="L2170" s="339" t="s">
        <v>409</v>
      </c>
      <c r="M2170" s="339" t="s">
        <v>409</v>
      </c>
      <c r="N2170" s="338" t="s">
        <v>410</v>
      </c>
      <c r="O2170" s="338" t="s">
        <v>409</v>
      </c>
      <c r="P2170" s="338" t="s">
        <v>410</v>
      </c>
    </row>
    <row r="2171" spans="2:16" x14ac:dyDescent="0.25">
      <c r="B2171" s="336" t="s">
        <v>416</v>
      </c>
      <c r="C2171" s="337">
        <v>40163</v>
      </c>
      <c r="D2171" s="338" t="s">
        <v>5304</v>
      </c>
      <c r="E2171" s="338" t="s">
        <v>1529</v>
      </c>
      <c r="F2171" s="338"/>
      <c r="G2171" s="338" t="s">
        <v>413</v>
      </c>
      <c r="H2171" s="338" t="s">
        <v>412</v>
      </c>
      <c r="I2171" s="338" t="s">
        <v>411</v>
      </c>
      <c r="J2171" s="339"/>
      <c r="K2171" s="339"/>
      <c r="L2171" s="339" t="s">
        <v>409</v>
      </c>
      <c r="M2171" s="339" t="s">
        <v>409</v>
      </c>
      <c r="N2171" s="338" t="s">
        <v>410</v>
      </c>
      <c r="O2171" s="338" t="s">
        <v>409</v>
      </c>
      <c r="P2171" s="338" t="s">
        <v>410</v>
      </c>
    </row>
    <row r="2172" spans="2:16" x14ac:dyDescent="0.25">
      <c r="B2172" s="336" t="s">
        <v>416</v>
      </c>
      <c r="C2172" s="337">
        <v>40163</v>
      </c>
      <c r="D2172" s="338" t="s">
        <v>956</v>
      </c>
      <c r="E2172" s="338" t="s">
        <v>1036</v>
      </c>
      <c r="F2172" s="338" t="s">
        <v>5303</v>
      </c>
      <c r="G2172" s="338" t="s">
        <v>413</v>
      </c>
      <c r="H2172" s="338" t="s">
        <v>425</v>
      </c>
      <c r="I2172" s="338" t="s">
        <v>411</v>
      </c>
      <c r="J2172" s="339"/>
      <c r="K2172" s="339"/>
      <c r="L2172" s="339"/>
      <c r="M2172" s="339"/>
      <c r="N2172" s="338"/>
      <c r="O2172" s="338" t="s">
        <v>417</v>
      </c>
      <c r="P2172" s="338" t="s">
        <v>417</v>
      </c>
    </row>
    <row r="2173" spans="2:16" x14ac:dyDescent="0.25">
      <c r="B2173" s="336" t="s">
        <v>416</v>
      </c>
      <c r="C2173" s="337">
        <v>40162</v>
      </c>
      <c r="D2173" s="338" t="s">
        <v>5302</v>
      </c>
      <c r="E2173" s="338" t="s">
        <v>1795</v>
      </c>
      <c r="F2173" s="338"/>
      <c r="G2173" s="338">
        <v>10.5</v>
      </c>
      <c r="H2173" s="338" t="s">
        <v>425</v>
      </c>
      <c r="I2173" s="338" t="s">
        <v>411</v>
      </c>
      <c r="J2173" s="339"/>
      <c r="K2173" s="339"/>
      <c r="L2173" s="339" t="s">
        <v>409</v>
      </c>
      <c r="M2173" s="339" t="s">
        <v>409</v>
      </c>
      <c r="N2173" s="338"/>
      <c r="O2173" s="338" t="s">
        <v>409</v>
      </c>
      <c r="P2173" s="338" t="s">
        <v>417</v>
      </c>
    </row>
    <row r="2174" spans="2:16" x14ac:dyDescent="0.25">
      <c r="B2174" s="336" t="s">
        <v>416</v>
      </c>
      <c r="C2174" s="337">
        <v>40161</v>
      </c>
      <c r="D2174" s="338" t="s">
        <v>5301</v>
      </c>
      <c r="E2174" s="338" t="s">
        <v>5300</v>
      </c>
      <c r="F2174" s="338" t="s">
        <v>1476</v>
      </c>
      <c r="G2174" s="338">
        <v>19</v>
      </c>
      <c r="H2174" s="338" t="s">
        <v>425</v>
      </c>
      <c r="I2174" s="338" t="s">
        <v>411</v>
      </c>
      <c r="J2174" s="339"/>
      <c r="K2174" s="339"/>
      <c r="L2174" s="339">
        <v>1.35023</v>
      </c>
      <c r="M2174" s="339">
        <v>9.3802500000000002</v>
      </c>
      <c r="N2174" s="338"/>
      <c r="O2174" s="338" t="s">
        <v>417</v>
      </c>
      <c r="P2174" s="338" t="s">
        <v>417</v>
      </c>
    </row>
    <row r="2175" spans="2:16" x14ac:dyDescent="0.25">
      <c r="B2175" s="336" t="s">
        <v>459</v>
      </c>
      <c r="C2175" s="337">
        <v>40161</v>
      </c>
      <c r="D2175" s="338" t="s">
        <v>5299</v>
      </c>
      <c r="E2175" s="338" t="s">
        <v>514</v>
      </c>
      <c r="F2175" s="338" t="s">
        <v>5298</v>
      </c>
      <c r="G2175" s="338" t="s">
        <v>413</v>
      </c>
      <c r="H2175" s="338" t="s">
        <v>425</v>
      </c>
      <c r="I2175" s="338" t="s">
        <v>411</v>
      </c>
      <c r="J2175" s="339"/>
      <c r="K2175" s="339"/>
      <c r="L2175" s="339"/>
      <c r="M2175" s="339"/>
      <c r="N2175" s="338" t="s">
        <v>417</v>
      </c>
      <c r="O2175" s="338" t="s">
        <v>417</v>
      </c>
      <c r="P2175" s="338"/>
    </row>
    <row r="2176" spans="2:16" x14ac:dyDescent="0.25">
      <c r="B2176" s="336" t="s">
        <v>416</v>
      </c>
      <c r="C2176" s="337">
        <v>40158</v>
      </c>
      <c r="D2176" s="338" t="s">
        <v>945</v>
      </c>
      <c r="E2176" s="338" t="s">
        <v>5297</v>
      </c>
      <c r="F2176" s="338" t="s">
        <v>5296</v>
      </c>
      <c r="G2176" s="338" t="s">
        <v>413</v>
      </c>
      <c r="H2176" s="338" t="s">
        <v>425</v>
      </c>
      <c r="I2176" s="338" t="s">
        <v>411</v>
      </c>
      <c r="J2176" s="339"/>
      <c r="K2176" s="339"/>
      <c r="L2176" s="339"/>
      <c r="M2176" s="339"/>
      <c r="N2176" s="338"/>
      <c r="O2176" s="338" t="s">
        <v>417</v>
      </c>
      <c r="P2176" s="338" t="s">
        <v>417</v>
      </c>
    </row>
    <row r="2177" spans="2:16" x14ac:dyDescent="0.25">
      <c r="B2177" s="336" t="s">
        <v>416</v>
      </c>
      <c r="C2177" s="337">
        <v>40158</v>
      </c>
      <c r="D2177" s="338" t="s">
        <v>5295</v>
      </c>
      <c r="E2177" s="338" t="s">
        <v>514</v>
      </c>
      <c r="F2177" s="338" t="s">
        <v>5294</v>
      </c>
      <c r="G2177" s="338">
        <v>0.34</v>
      </c>
      <c r="H2177" s="338" t="s">
        <v>425</v>
      </c>
      <c r="I2177" s="338" t="s">
        <v>411</v>
      </c>
      <c r="J2177" s="339"/>
      <c r="K2177" s="339"/>
      <c r="L2177" s="339">
        <v>2.6183800000000002</v>
      </c>
      <c r="M2177" s="339">
        <v>15.8431</v>
      </c>
      <c r="N2177" s="338" t="s">
        <v>417</v>
      </c>
      <c r="O2177" s="338" t="s">
        <v>417</v>
      </c>
      <c r="P2177" s="338"/>
    </row>
    <row r="2178" spans="2:16" x14ac:dyDescent="0.25">
      <c r="B2178" s="336" t="s">
        <v>416</v>
      </c>
      <c r="C2178" s="337">
        <v>40157</v>
      </c>
      <c r="D2178" s="338" t="s">
        <v>5293</v>
      </c>
      <c r="E2178" s="338" t="s">
        <v>5292</v>
      </c>
      <c r="F2178" s="338"/>
      <c r="G2178" s="338" t="s">
        <v>413</v>
      </c>
      <c r="H2178" s="338" t="s">
        <v>412</v>
      </c>
      <c r="I2178" s="338" t="s">
        <v>411</v>
      </c>
      <c r="J2178" s="339"/>
      <c r="K2178" s="339"/>
      <c r="L2178" s="339" t="s">
        <v>409</v>
      </c>
      <c r="M2178" s="339" t="s">
        <v>409</v>
      </c>
      <c r="N2178" s="338" t="s">
        <v>605</v>
      </c>
      <c r="O2178" s="338" t="s">
        <v>409</v>
      </c>
      <c r="P2178" s="338" t="s">
        <v>605</v>
      </c>
    </row>
    <row r="2179" spans="2:16" x14ac:dyDescent="0.25">
      <c r="B2179" s="336" t="s">
        <v>416</v>
      </c>
      <c r="C2179" s="337">
        <v>40156</v>
      </c>
      <c r="D2179" s="338" t="s">
        <v>4990</v>
      </c>
      <c r="E2179" s="338" t="s">
        <v>4990</v>
      </c>
      <c r="F2179" s="338" t="s">
        <v>1965</v>
      </c>
      <c r="G2179" s="338">
        <v>491</v>
      </c>
      <c r="H2179" s="338" t="s">
        <v>507</v>
      </c>
      <c r="I2179" s="338" t="s">
        <v>411</v>
      </c>
      <c r="J2179" s="339">
        <v>0.34881099999999998</v>
      </c>
      <c r="K2179" s="339"/>
      <c r="L2179" s="339">
        <v>0.43301099999999998</v>
      </c>
      <c r="M2179" s="339">
        <v>6.4722400000000002</v>
      </c>
      <c r="N2179" s="338" t="s">
        <v>417</v>
      </c>
      <c r="O2179" s="338" t="s">
        <v>417</v>
      </c>
      <c r="P2179" s="338" t="s">
        <v>417</v>
      </c>
    </row>
    <row r="2180" spans="2:16" x14ac:dyDescent="0.25">
      <c r="B2180" s="336" t="s">
        <v>416</v>
      </c>
      <c r="C2180" s="337">
        <v>40155</v>
      </c>
      <c r="D2180" s="338" t="s">
        <v>5291</v>
      </c>
      <c r="E2180" s="338" t="s">
        <v>4990</v>
      </c>
      <c r="F2180" s="338"/>
      <c r="G2180" s="338">
        <v>463.16</v>
      </c>
      <c r="H2180" s="338" t="s">
        <v>336</v>
      </c>
      <c r="I2180" s="338" t="s">
        <v>411</v>
      </c>
      <c r="J2180" s="339"/>
      <c r="K2180" s="339"/>
      <c r="L2180" s="339" t="s">
        <v>409</v>
      </c>
      <c r="M2180" s="339" t="s">
        <v>409</v>
      </c>
      <c r="N2180" s="338" t="s">
        <v>543</v>
      </c>
      <c r="O2180" s="338" t="s">
        <v>409</v>
      </c>
      <c r="P2180" s="338" t="s">
        <v>417</v>
      </c>
    </row>
    <row r="2181" spans="2:16" x14ac:dyDescent="0.25">
      <c r="B2181" s="336" t="s">
        <v>416</v>
      </c>
      <c r="C2181" s="337">
        <v>40154</v>
      </c>
      <c r="D2181" s="338" t="s">
        <v>5290</v>
      </c>
      <c r="E2181" s="338" t="s">
        <v>5289</v>
      </c>
      <c r="F2181" s="338" t="s">
        <v>5288</v>
      </c>
      <c r="G2181" s="338" t="s">
        <v>413</v>
      </c>
      <c r="H2181" s="338" t="s">
        <v>425</v>
      </c>
      <c r="I2181" s="338" t="s">
        <v>411</v>
      </c>
      <c r="J2181" s="339"/>
      <c r="K2181" s="339"/>
      <c r="L2181" s="339"/>
      <c r="M2181" s="339"/>
      <c r="N2181" s="338"/>
      <c r="O2181" s="338" t="s">
        <v>417</v>
      </c>
      <c r="P2181" s="338" t="s">
        <v>417</v>
      </c>
    </row>
    <row r="2182" spans="2:16" x14ac:dyDescent="0.25">
      <c r="B2182" s="336" t="s">
        <v>459</v>
      </c>
      <c r="C2182" s="337">
        <v>40154</v>
      </c>
      <c r="D2182" s="338" t="s">
        <v>5287</v>
      </c>
      <c r="E2182" s="338" t="s">
        <v>5286</v>
      </c>
      <c r="F2182" s="338"/>
      <c r="G2182" s="338" t="s">
        <v>413</v>
      </c>
      <c r="H2182" s="338" t="s">
        <v>412</v>
      </c>
      <c r="I2182" s="338" t="s">
        <v>411</v>
      </c>
      <c r="J2182" s="339"/>
      <c r="K2182" s="339"/>
      <c r="L2182" s="339" t="s">
        <v>409</v>
      </c>
      <c r="M2182" s="339" t="s">
        <v>409</v>
      </c>
      <c r="N2182" s="338" t="s">
        <v>417</v>
      </c>
      <c r="O2182" s="338" t="s">
        <v>409</v>
      </c>
      <c r="P2182" s="338" t="s">
        <v>410</v>
      </c>
    </row>
    <row r="2183" spans="2:16" x14ac:dyDescent="0.25">
      <c r="B2183" s="336" t="s">
        <v>416</v>
      </c>
      <c r="C2183" s="337">
        <v>40154</v>
      </c>
      <c r="D2183" s="338" t="s">
        <v>5285</v>
      </c>
      <c r="E2183" s="338" t="s">
        <v>5284</v>
      </c>
      <c r="F2183" s="338"/>
      <c r="G2183" s="338">
        <v>30</v>
      </c>
      <c r="H2183" s="338" t="s">
        <v>425</v>
      </c>
      <c r="I2183" s="338" t="s">
        <v>411</v>
      </c>
      <c r="J2183" s="339"/>
      <c r="K2183" s="339"/>
      <c r="L2183" s="339" t="s">
        <v>409</v>
      </c>
      <c r="M2183" s="339" t="s">
        <v>409</v>
      </c>
      <c r="N2183" s="338" t="s">
        <v>417</v>
      </c>
      <c r="O2183" s="338" t="s">
        <v>409</v>
      </c>
      <c r="P2183" s="338" t="s">
        <v>432</v>
      </c>
    </row>
    <row r="2184" spans="2:16" x14ac:dyDescent="0.25">
      <c r="B2184" s="336" t="s">
        <v>416</v>
      </c>
      <c r="C2184" s="337">
        <v>40154</v>
      </c>
      <c r="D2184" s="338" t="s">
        <v>5283</v>
      </c>
      <c r="E2184" s="338" t="s">
        <v>5282</v>
      </c>
      <c r="F2184" s="338" t="s">
        <v>5281</v>
      </c>
      <c r="G2184" s="338" t="s">
        <v>413</v>
      </c>
      <c r="H2184" s="338" t="s">
        <v>412</v>
      </c>
      <c r="I2184" s="338" t="s">
        <v>411</v>
      </c>
      <c r="J2184" s="339"/>
      <c r="K2184" s="339"/>
      <c r="L2184" s="339"/>
      <c r="M2184" s="339"/>
      <c r="N2184" s="338"/>
      <c r="O2184" s="338" t="s">
        <v>417</v>
      </c>
      <c r="P2184" s="338" t="s">
        <v>417</v>
      </c>
    </row>
    <row r="2185" spans="2:16" x14ac:dyDescent="0.25">
      <c r="B2185" s="336" t="s">
        <v>416</v>
      </c>
      <c r="C2185" s="337">
        <v>40154</v>
      </c>
      <c r="D2185" s="338" t="s">
        <v>5280</v>
      </c>
      <c r="E2185" s="338" t="s">
        <v>5279</v>
      </c>
      <c r="F2185" s="338" t="s">
        <v>5278</v>
      </c>
      <c r="G2185" s="338">
        <v>75.94</v>
      </c>
      <c r="H2185" s="338" t="s">
        <v>780</v>
      </c>
      <c r="I2185" s="338" t="s">
        <v>411</v>
      </c>
      <c r="J2185" s="339"/>
      <c r="K2185" s="339"/>
      <c r="L2185" s="339"/>
      <c r="M2185" s="339"/>
      <c r="N2185" s="338" t="s">
        <v>417</v>
      </c>
      <c r="O2185" s="338" t="s">
        <v>443</v>
      </c>
      <c r="P2185" s="338" t="s">
        <v>417</v>
      </c>
    </row>
    <row r="2186" spans="2:16" x14ac:dyDescent="0.25">
      <c r="B2186" s="336" t="s">
        <v>416</v>
      </c>
      <c r="C2186" s="337">
        <v>40153</v>
      </c>
      <c r="D2186" s="338" t="s">
        <v>2057</v>
      </c>
      <c r="E2186" s="338" t="s">
        <v>5277</v>
      </c>
      <c r="F2186" s="338"/>
      <c r="G2186" s="338" t="s">
        <v>413</v>
      </c>
      <c r="H2186" s="338" t="s">
        <v>412</v>
      </c>
      <c r="I2186" s="338" t="s">
        <v>411</v>
      </c>
      <c r="J2186" s="339"/>
      <c r="K2186" s="339"/>
      <c r="L2186" s="339" t="s">
        <v>409</v>
      </c>
      <c r="M2186" s="339" t="s">
        <v>409</v>
      </c>
      <c r="N2186" s="338" t="s">
        <v>417</v>
      </c>
      <c r="O2186" s="338" t="s">
        <v>409</v>
      </c>
      <c r="P2186" s="338" t="s">
        <v>605</v>
      </c>
    </row>
    <row r="2187" spans="2:16" x14ac:dyDescent="0.25">
      <c r="B2187" s="336" t="s">
        <v>459</v>
      </c>
      <c r="C2187" s="337">
        <v>40151</v>
      </c>
      <c r="D2187" s="338" t="s">
        <v>3335</v>
      </c>
      <c r="E2187" s="338" t="s">
        <v>5276</v>
      </c>
      <c r="F2187" s="338"/>
      <c r="G2187" s="338" t="s">
        <v>413</v>
      </c>
      <c r="H2187" s="338" t="s">
        <v>425</v>
      </c>
      <c r="I2187" s="338" t="s">
        <v>411</v>
      </c>
      <c r="J2187" s="339"/>
      <c r="K2187" s="339"/>
      <c r="L2187" s="339" t="s">
        <v>409</v>
      </c>
      <c r="M2187" s="339" t="s">
        <v>409</v>
      </c>
      <c r="N2187" s="338" t="s">
        <v>417</v>
      </c>
      <c r="O2187" s="338" t="s">
        <v>409</v>
      </c>
      <c r="P2187" s="338"/>
    </row>
    <row r="2188" spans="2:16" x14ac:dyDescent="0.25">
      <c r="B2188" s="336" t="s">
        <v>459</v>
      </c>
      <c r="C2188" s="337">
        <v>40150</v>
      </c>
      <c r="D2188" s="338" t="s">
        <v>5275</v>
      </c>
      <c r="E2188" s="338" t="s">
        <v>5274</v>
      </c>
      <c r="F2188" s="338"/>
      <c r="G2188" s="338" t="s">
        <v>413</v>
      </c>
      <c r="H2188" s="338" t="s">
        <v>412</v>
      </c>
      <c r="I2188" s="338" t="s">
        <v>411</v>
      </c>
      <c r="J2188" s="339"/>
      <c r="K2188" s="339"/>
      <c r="L2188" s="339" t="s">
        <v>409</v>
      </c>
      <c r="M2188" s="339" t="s">
        <v>409</v>
      </c>
      <c r="N2188" s="338" t="s">
        <v>605</v>
      </c>
      <c r="O2188" s="338" t="s">
        <v>409</v>
      </c>
      <c r="P2188" s="338" t="s">
        <v>417</v>
      </c>
    </row>
    <row r="2189" spans="2:16" x14ac:dyDescent="0.25">
      <c r="B2189" s="336" t="s">
        <v>416</v>
      </c>
      <c r="C2189" s="337">
        <v>40149</v>
      </c>
      <c r="D2189" s="338" t="s">
        <v>5273</v>
      </c>
      <c r="E2189" s="338" t="s">
        <v>5272</v>
      </c>
      <c r="F2189" s="338"/>
      <c r="G2189" s="338" t="s">
        <v>413</v>
      </c>
      <c r="H2189" s="338" t="s">
        <v>412</v>
      </c>
      <c r="I2189" s="338" t="s">
        <v>411</v>
      </c>
      <c r="J2189" s="339"/>
      <c r="K2189" s="339"/>
      <c r="L2189" s="339" t="s">
        <v>409</v>
      </c>
      <c r="M2189" s="339" t="s">
        <v>409</v>
      </c>
      <c r="N2189" s="338" t="s">
        <v>417</v>
      </c>
      <c r="O2189" s="338" t="s">
        <v>409</v>
      </c>
      <c r="P2189" s="338" t="s">
        <v>410</v>
      </c>
    </row>
    <row r="2190" spans="2:16" x14ac:dyDescent="0.25">
      <c r="B2190" s="336" t="s">
        <v>416</v>
      </c>
      <c r="C2190" s="337">
        <v>40148</v>
      </c>
      <c r="D2190" s="338" t="s">
        <v>5271</v>
      </c>
      <c r="E2190" s="338" t="s">
        <v>5270</v>
      </c>
      <c r="F2190" s="338"/>
      <c r="G2190" s="338" t="s">
        <v>413</v>
      </c>
      <c r="H2190" s="338" t="s">
        <v>412</v>
      </c>
      <c r="I2190" s="338" t="s">
        <v>411</v>
      </c>
      <c r="J2190" s="339"/>
      <c r="K2190" s="339"/>
      <c r="L2190" s="339" t="s">
        <v>409</v>
      </c>
      <c r="M2190" s="339" t="s">
        <v>409</v>
      </c>
      <c r="N2190" s="338" t="s">
        <v>417</v>
      </c>
      <c r="O2190" s="338" t="s">
        <v>409</v>
      </c>
      <c r="P2190" s="338"/>
    </row>
    <row r="2191" spans="2:16" x14ac:dyDescent="0.25">
      <c r="B2191" s="336" t="s">
        <v>416</v>
      </c>
      <c r="C2191" s="337">
        <v>40147</v>
      </c>
      <c r="D2191" s="338" t="s">
        <v>5269</v>
      </c>
      <c r="E2191" s="338" t="s">
        <v>5268</v>
      </c>
      <c r="F2191" s="338"/>
      <c r="G2191" s="338" t="s">
        <v>413</v>
      </c>
      <c r="H2191" s="338" t="s">
        <v>412</v>
      </c>
      <c r="I2191" s="338" t="s">
        <v>411</v>
      </c>
      <c r="J2191" s="339"/>
      <c r="K2191" s="339"/>
      <c r="L2191" s="339" t="s">
        <v>409</v>
      </c>
      <c r="M2191" s="339" t="s">
        <v>409</v>
      </c>
      <c r="N2191" s="338" t="s">
        <v>410</v>
      </c>
      <c r="O2191" s="338" t="s">
        <v>409</v>
      </c>
      <c r="P2191" s="338" t="s">
        <v>410</v>
      </c>
    </row>
    <row r="2192" spans="2:16" x14ac:dyDescent="0.25">
      <c r="B2192" s="336" t="s">
        <v>416</v>
      </c>
      <c r="C2192" s="337">
        <v>40141</v>
      </c>
      <c r="D2192" s="338" t="s">
        <v>3153</v>
      </c>
      <c r="E2192" s="338" t="s">
        <v>5267</v>
      </c>
      <c r="F2192" s="338" t="s">
        <v>4386</v>
      </c>
      <c r="G2192" s="338">
        <v>33</v>
      </c>
      <c r="H2192" s="338" t="s">
        <v>425</v>
      </c>
      <c r="I2192" s="338" t="s">
        <v>411</v>
      </c>
      <c r="J2192" s="339"/>
      <c r="K2192" s="339"/>
      <c r="L2192" s="339">
        <v>4.94252</v>
      </c>
      <c r="M2192" s="339"/>
      <c r="N2192" s="338" t="s">
        <v>417</v>
      </c>
      <c r="O2192" s="338" t="s">
        <v>543</v>
      </c>
      <c r="P2192" s="338" t="s">
        <v>417</v>
      </c>
    </row>
    <row r="2193" spans="2:16" x14ac:dyDescent="0.25">
      <c r="B2193" s="336" t="s">
        <v>416</v>
      </c>
      <c r="C2193" s="337">
        <v>40141</v>
      </c>
      <c r="D2193" s="338" t="s">
        <v>5266</v>
      </c>
      <c r="E2193" s="338" t="s">
        <v>4354</v>
      </c>
      <c r="F2193" s="338"/>
      <c r="G2193" s="338" t="s">
        <v>413</v>
      </c>
      <c r="H2193" s="338" t="s">
        <v>412</v>
      </c>
      <c r="I2193" s="338" t="s">
        <v>411</v>
      </c>
      <c r="J2193" s="339"/>
      <c r="K2193" s="339"/>
      <c r="L2193" s="339" t="s">
        <v>409</v>
      </c>
      <c r="M2193" s="339" t="s">
        <v>409</v>
      </c>
      <c r="N2193" s="338" t="s">
        <v>417</v>
      </c>
      <c r="O2193" s="338" t="s">
        <v>409</v>
      </c>
      <c r="P2193" s="338" t="s">
        <v>417</v>
      </c>
    </row>
    <row r="2194" spans="2:16" x14ac:dyDescent="0.25">
      <c r="B2194" s="336" t="s">
        <v>416</v>
      </c>
      <c r="C2194" s="337">
        <v>40140</v>
      </c>
      <c r="D2194" s="338" t="s">
        <v>5265</v>
      </c>
      <c r="E2194" s="338" t="s">
        <v>5264</v>
      </c>
      <c r="F2194" s="338"/>
      <c r="G2194" s="338">
        <v>6.27</v>
      </c>
      <c r="H2194" s="338" t="s">
        <v>425</v>
      </c>
      <c r="I2194" s="338" t="s">
        <v>411</v>
      </c>
      <c r="J2194" s="339">
        <v>1.03003</v>
      </c>
      <c r="K2194" s="339">
        <v>6.2412900000000002</v>
      </c>
      <c r="L2194" s="339" t="s">
        <v>409</v>
      </c>
      <c r="M2194" s="339" t="s">
        <v>409</v>
      </c>
      <c r="N2194" s="338" t="s">
        <v>417</v>
      </c>
      <c r="O2194" s="338" t="s">
        <v>409</v>
      </c>
      <c r="P2194" s="338" t="s">
        <v>443</v>
      </c>
    </row>
    <row r="2195" spans="2:16" x14ac:dyDescent="0.25">
      <c r="B2195" s="336" t="s">
        <v>459</v>
      </c>
      <c r="C2195" s="337">
        <v>40137</v>
      </c>
      <c r="D2195" s="338" t="s">
        <v>5263</v>
      </c>
      <c r="E2195" s="338" t="s">
        <v>5262</v>
      </c>
      <c r="F2195" s="338"/>
      <c r="G2195" s="338">
        <v>3</v>
      </c>
      <c r="H2195" s="338" t="s">
        <v>425</v>
      </c>
      <c r="I2195" s="338" t="s">
        <v>411</v>
      </c>
      <c r="J2195" s="339"/>
      <c r="K2195" s="339"/>
      <c r="L2195" s="339" t="s">
        <v>409</v>
      </c>
      <c r="M2195" s="339" t="s">
        <v>409</v>
      </c>
      <c r="N2195" s="338" t="s">
        <v>432</v>
      </c>
      <c r="O2195" s="338" t="s">
        <v>409</v>
      </c>
      <c r="P2195" s="338" t="s">
        <v>443</v>
      </c>
    </row>
    <row r="2196" spans="2:16" x14ac:dyDescent="0.25">
      <c r="B2196" s="336" t="s">
        <v>416</v>
      </c>
      <c r="C2196" s="337">
        <v>40136</v>
      </c>
      <c r="D2196" s="338" t="s">
        <v>5261</v>
      </c>
      <c r="E2196" s="338" t="s">
        <v>5260</v>
      </c>
      <c r="F2196" s="338"/>
      <c r="G2196" s="338" t="s">
        <v>413</v>
      </c>
      <c r="H2196" s="338" t="s">
        <v>336</v>
      </c>
      <c r="I2196" s="338" t="s">
        <v>411</v>
      </c>
      <c r="J2196" s="339"/>
      <c r="K2196" s="339"/>
      <c r="L2196" s="339" t="s">
        <v>409</v>
      </c>
      <c r="M2196" s="339" t="s">
        <v>409</v>
      </c>
      <c r="N2196" s="338" t="s">
        <v>417</v>
      </c>
      <c r="O2196" s="338" t="s">
        <v>409</v>
      </c>
      <c r="P2196" s="338" t="s">
        <v>443</v>
      </c>
    </row>
    <row r="2197" spans="2:16" x14ac:dyDescent="0.25">
      <c r="B2197" s="336" t="s">
        <v>416</v>
      </c>
      <c r="C2197" s="337">
        <v>40136</v>
      </c>
      <c r="D2197" s="338" t="s">
        <v>5259</v>
      </c>
      <c r="E2197" s="338" t="s">
        <v>1225</v>
      </c>
      <c r="F2197" s="338" t="s">
        <v>5258</v>
      </c>
      <c r="G2197" s="338" t="s">
        <v>413</v>
      </c>
      <c r="H2197" s="338" t="s">
        <v>425</v>
      </c>
      <c r="I2197" s="338" t="s">
        <v>411</v>
      </c>
      <c r="J2197" s="339"/>
      <c r="K2197" s="339"/>
      <c r="L2197" s="339"/>
      <c r="M2197" s="339"/>
      <c r="N2197" s="338"/>
      <c r="O2197" s="338"/>
      <c r="P2197" s="338" t="s">
        <v>417</v>
      </c>
    </row>
    <row r="2198" spans="2:16" x14ac:dyDescent="0.25">
      <c r="B2198" s="336" t="s">
        <v>416</v>
      </c>
      <c r="C2198" s="337">
        <v>40135</v>
      </c>
      <c r="D2198" s="338" t="s">
        <v>5257</v>
      </c>
      <c r="E2198" s="338" t="s">
        <v>3567</v>
      </c>
      <c r="F2198" s="338" t="s">
        <v>1583</v>
      </c>
      <c r="G2198" s="338" t="s">
        <v>413</v>
      </c>
      <c r="H2198" s="338" t="s">
        <v>425</v>
      </c>
      <c r="I2198" s="338" t="s">
        <v>411</v>
      </c>
      <c r="J2198" s="339"/>
      <c r="K2198" s="339"/>
      <c r="L2198" s="339">
        <v>1.51874</v>
      </c>
      <c r="M2198" s="339">
        <v>10.3505</v>
      </c>
      <c r="N2198" s="338"/>
      <c r="O2198" s="338" t="s">
        <v>417</v>
      </c>
      <c r="P2198" s="338" t="s">
        <v>417</v>
      </c>
    </row>
    <row r="2199" spans="2:16" x14ac:dyDescent="0.25">
      <c r="B2199" s="336" t="s">
        <v>416</v>
      </c>
      <c r="C2199" s="337">
        <v>40133</v>
      </c>
      <c r="D2199" s="338" t="s">
        <v>5256</v>
      </c>
      <c r="E2199" s="338" t="s">
        <v>5255</v>
      </c>
      <c r="F2199" s="338"/>
      <c r="G2199" s="338">
        <v>4.3</v>
      </c>
      <c r="H2199" s="338" t="s">
        <v>425</v>
      </c>
      <c r="I2199" s="338" t="s">
        <v>411</v>
      </c>
      <c r="J2199" s="339"/>
      <c r="K2199" s="339"/>
      <c r="L2199" s="339" t="s">
        <v>409</v>
      </c>
      <c r="M2199" s="339" t="s">
        <v>409</v>
      </c>
      <c r="N2199" s="338"/>
      <c r="O2199" s="338" t="s">
        <v>409</v>
      </c>
      <c r="P2199" s="338" t="s">
        <v>443</v>
      </c>
    </row>
    <row r="2200" spans="2:16" x14ac:dyDescent="0.25">
      <c r="B2200" s="336" t="s">
        <v>416</v>
      </c>
      <c r="C2200" s="337">
        <v>40129</v>
      </c>
      <c r="D2200" s="338" t="s">
        <v>5254</v>
      </c>
      <c r="E2200" s="338" t="s">
        <v>5253</v>
      </c>
      <c r="F2200" s="338" t="s">
        <v>5252</v>
      </c>
      <c r="G2200" s="338">
        <v>2.6</v>
      </c>
      <c r="H2200" s="338" t="s">
        <v>425</v>
      </c>
      <c r="I2200" s="338" t="s">
        <v>411</v>
      </c>
      <c r="J2200" s="339"/>
      <c r="K2200" s="339"/>
      <c r="L2200" s="339"/>
      <c r="M2200" s="339"/>
      <c r="N2200" s="338"/>
      <c r="O2200" s="338" t="s">
        <v>482</v>
      </c>
      <c r="P2200" s="338" t="s">
        <v>417</v>
      </c>
    </row>
    <row r="2201" spans="2:16" x14ac:dyDescent="0.25">
      <c r="B2201" s="336" t="s">
        <v>416</v>
      </c>
      <c r="C2201" s="337">
        <v>40128</v>
      </c>
      <c r="D2201" s="338" t="s">
        <v>1754</v>
      </c>
      <c r="E2201" s="338" t="s">
        <v>436</v>
      </c>
      <c r="F2201" s="338"/>
      <c r="G2201" s="338">
        <v>120.02</v>
      </c>
      <c r="H2201" s="338" t="s">
        <v>429</v>
      </c>
      <c r="I2201" s="338" t="s">
        <v>411</v>
      </c>
      <c r="J2201" s="339">
        <v>1.0402199999999999</v>
      </c>
      <c r="K2201" s="339">
        <v>13.1104</v>
      </c>
      <c r="L2201" s="339" t="s">
        <v>409</v>
      </c>
      <c r="M2201" s="339" t="s">
        <v>409</v>
      </c>
      <c r="N2201" s="338" t="s">
        <v>417</v>
      </c>
      <c r="O2201" s="338" t="s">
        <v>409</v>
      </c>
      <c r="P2201" s="338" t="s">
        <v>417</v>
      </c>
    </row>
    <row r="2202" spans="2:16" x14ac:dyDescent="0.25">
      <c r="B2202" s="336" t="s">
        <v>416</v>
      </c>
      <c r="C2202" s="337">
        <v>40123</v>
      </c>
      <c r="D2202" s="338" t="s">
        <v>5251</v>
      </c>
      <c r="E2202" s="338" t="s">
        <v>5250</v>
      </c>
      <c r="F2202" s="338" t="s">
        <v>1044</v>
      </c>
      <c r="G2202" s="338" t="s">
        <v>413</v>
      </c>
      <c r="H2202" s="338" t="s">
        <v>412</v>
      </c>
      <c r="I2202" s="338" t="s">
        <v>411</v>
      </c>
      <c r="J2202" s="339"/>
      <c r="K2202" s="339"/>
      <c r="L2202" s="339"/>
      <c r="M2202" s="339"/>
      <c r="N2202" s="338"/>
      <c r="O2202" s="338" t="s">
        <v>417</v>
      </c>
      <c r="P2202" s="338" t="s">
        <v>417</v>
      </c>
    </row>
    <row r="2203" spans="2:16" x14ac:dyDescent="0.25">
      <c r="B2203" s="336" t="s">
        <v>416</v>
      </c>
      <c r="C2203" s="337">
        <v>40122</v>
      </c>
      <c r="D2203" s="338" t="s">
        <v>5249</v>
      </c>
      <c r="E2203" s="338" t="s">
        <v>5248</v>
      </c>
      <c r="F2203" s="338"/>
      <c r="G2203" s="338">
        <v>320</v>
      </c>
      <c r="H2203" s="338" t="s">
        <v>425</v>
      </c>
      <c r="I2203" s="338" t="s">
        <v>411</v>
      </c>
      <c r="J2203" s="339"/>
      <c r="K2203" s="339"/>
      <c r="L2203" s="339" t="s">
        <v>409</v>
      </c>
      <c r="M2203" s="339" t="s">
        <v>409</v>
      </c>
      <c r="N2203" s="338"/>
      <c r="O2203" s="338" t="s">
        <v>409</v>
      </c>
      <c r="P2203" s="338"/>
    </row>
    <row r="2204" spans="2:16" x14ac:dyDescent="0.25">
      <c r="B2204" s="336" t="s">
        <v>459</v>
      </c>
      <c r="C2204" s="337">
        <v>40122</v>
      </c>
      <c r="D2204" s="338" t="s">
        <v>4295</v>
      </c>
      <c r="E2204" s="338" t="s">
        <v>5247</v>
      </c>
      <c r="F2204" s="338"/>
      <c r="G2204" s="338">
        <v>27.2</v>
      </c>
      <c r="H2204" s="338" t="s">
        <v>425</v>
      </c>
      <c r="I2204" s="338" t="s">
        <v>411</v>
      </c>
      <c r="J2204" s="339">
        <v>0.95572900000000005</v>
      </c>
      <c r="K2204" s="339">
        <v>7.7199400000000002</v>
      </c>
      <c r="L2204" s="339" t="s">
        <v>409</v>
      </c>
      <c r="M2204" s="339" t="s">
        <v>409</v>
      </c>
      <c r="N2204" s="338" t="s">
        <v>417</v>
      </c>
      <c r="O2204" s="338" t="s">
        <v>409</v>
      </c>
      <c r="P2204" s="338" t="s">
        <v>417</v>
      </c>
    </row>
    <row r="2205" spans="2:16" x14ac:dyDescent="0.25">
      <c r="B2205" s="336" t="s">
        <v>416</v>
      </c>
      <c r="C2205" s="337">
        <v>40121</v>
      </c>
      <c r="D2205" s="338" t="s">
        <v>5246</v>
      </c>
      <c r="E2205" s="338" t="s">
        <v>5245</v>
      </c>
      <c r="F2205" s="338" t="s">
        <v>3623</v>
      </c>
      <c r="G2205" s="338" t="s">
        <v>413</v>
      </c>
      <c r="H2205" s="338" t="s">
        <v>412</v>
      </c>
      <c r="I2205" s="338" t="s">
        <v>411</v>
      </c>
      <c r="J2205" s="339"/>
      <c r="K2205" s="339"/>
      <c r="L2205" s="339">
        <v>1.31674</v>
      </c>
      <c r="M2205" s="339">
        <v>10.2895</v>
      </c>
      <c r="N2205" s="338" t="s">
        <v>432</v>
      </c>
      <c r="O2205" s="338" t="s">
        <v>417</v>
      </c>
      <c r="P2205" s="338" t="s">
        <v>443</v>
      </c>
    </row>
    <row r="2206" spans="2:16" x14ac:dyDescent="0.25">
      <c r="B2206" s="336" t="s">
        <v>416</v>
      </c>
      <c r="C2206" s="337">
        <v>40121</v>
      </c>
      <c r="D2206" s="338" t="s">
        <v>5244</v>
      </c>
      <c r="E2206" s="338" t="s">
        <v>1452</v>
      </c>
      <c r="F2206" s="338"/>
      <c r="G2206" s="338" t="s">
        <v>413</v>
      </c>
      <c r="H2206" s="338" t="s">
        <v>425</v>
      </c>
      <c r="I2206" s="338" t="s">
        <v>411</v>
      </c>
      <c r="J2206" s="339"/>
      <c r="K2206" s="339"/>
      <c r="L2206" s="339" t="s">
        <v>409</v>
      </c>
      <c r="M2206" s="339" t="s">
        <v>409</v>
      </c>
      <c r="N2206" s="338"/>
      <c r="O2206" s="338" t="s">
        <v>409</v>
      </c>
      <c r="P2206" s="338" t="s">
        <v>417</v>
      </c>
    </row>
    <row r="2207" spans="2:16" x14ac:dyDescent="0.25">
      <c r="B2207" s="336" t="s">
        <v>416</v>
      </c>
      <c r="C2207" s="337">
        <v>40121</v>
      </c>
      <c r="D2207" s="338" t="s">
        <v>956</v>
      </c>
      <c r="E2207" s="338" t="s">
        <v>1096</v>
      </c>
      <c r="F2207" s="338" t="s">
        <v>5243</v>
      </c>
      <c r="G2207" s="338">
        <v>76</v>
      </c>
      <c r="H2207" s="338" t="s">
        <v>425</v>
      </c>
      <c r="I2207" s="338" t="s">
        <v>411</v>
      </c>
      <c r="J2207" s="339"/>
      <c r="K2207" s="339"/>
      <c r="L2207" s="339">
        <v>1.6193</v>
      </c>
      <c r="M2207" s="339">
        <v>10.6713</v>
      </c>
      <c r="N2207" s="338"/>
      <c r="O2207" s="338" t="s">
        <v>885</v>
      </c>
      <c r="P2207" s="338" t="s">
        <v>417</v>
      </c>
    </row>
    <row r="2208" spans="2:16" x14ac:dyDescent="0.25">
      <c r="B2208" s="336" t="s">
        <v>416</v>
      </c>
      <c r="C2208" s="337">
        <v>40120</v>
      </c>
      <c r="D2208" s="338" t="s">
        <v>5242</v>
      </c>
      <c r="E2208" s="338" t="s">
        <v>1529</v>
      </c>
      <c r="F2208" s="338"/>
      <c r="G2208" s="338" t="s">
        <v>413</v>
      </c>
      <c r="H2208" s="338" t="s">
        <v>412</v>
      </c>
      <c r="I2208" s="338" t="s">
        <v>411</v>
      </c>
      <c r="J2208" s="339"/>
      <c r="K2208" s="339"/>
      <c r="L2208" s="339" t="s">
        <v>409</v>
      </c>
      <c r="M2208" s="339" t="s">
        <v>409</v>
      </c>
      <c r="N2208" s="338" t="s">
        <v>417</v>
      </c>
      <c r="O2208" s="338" t="s">
        <v>409</v>
      </c>
      <c r="P2208" s="338" t="s">
        <v>410</v>
      </c>
    </row>
    <row r="2209" spans="2:16" x14ac:dyDescent="0.25">
      <c r="B2209" s="336" t="s">
        <v>416</v>
      </c>
      <c r="C2209" s="337">
        <v>40120</v>
      </c>
      <c r="D2209" s="338" t="s">
        <v>916</v>
      </c>
      <c r="E2209" s="338" t="s">
        <v>423</v>
      </c>
      <c r="F2209" s="338"/>
      <c r="G2209" s="338">
        <v>177.58</v>
      </c>
      <c r="H2209" s="338" t="s">
        <v>425</v>
      </c>
      <c r="I2209" s="338" t="s">
        <v>411</v>
      </c>
      <c r="J2209" s="339"/>
      <c r="K2209" s="339"/>
      <c r="L2209" s="339" t="s">
        <v>409</v>
      </c>
      <c r="M2209" s="339" t="s">
        <v>409</v>
      </c>
      <c r="N2209" s="338" t="s">
        <v>417</v>
      </c>
      <c r="O2209" s="338" t="s">
        <v>409</v>
      </c>
      <c r="P2209" s="338"/>
    </row>
    <row r="2210" spans="2:16" x14ac:dyDescent="0.25">
      <c r="B2210" s="336" t="s">
        <v>416</v>
      </c>
      <c r="C2210" s="337">
        <v>40120</v>
      </c>
      <c r="D2210" s="338" t="s">
        <v>5241</v>
      </c>
      <c r="E2210" s="338" t="s">
        <v>2869</v>
      </c>
      <c r="F2210" s="338"/>
      <c r="G2210" s="338" t="s">
        <v>413</v>
      </c>
      <c r="H2210" s="338" t="s">
        <v>412</v>
      </c>
      <c r="I2210" s="338" t="s">
        <v>411</v>
      </c>
      <c r="J2210" s="339"/>
      <c r="K2210" s="339"/>
      <c r="L2210" s="339" t="s">
        <v>409</v>
      </c>
      <c r="M2210" s="339" t="s">
        <v>409</v>
      </c>
      <c r="N2210" s="338" t="s">
        <v>417</v>
      </c>
      <c r="O2210" s="338" t="s">
        <v>409</v>
      </c>
      <c r="P2210" s="338" t="s">
        <v>417</v>
      </c>
    </row>
    <row r="2211" spans="2:16" x14ac:dyDescent="0.25">
      <c r="B2211" s="336" t="s">
        <v>416</v>
      </c>
      <c r="C2211" s="337">
        <v>40119</v>
      </c>
      <c r="D2211" s="338" t="s">
        <v>5240</v>
      </c>
      <c r="E2211" s="338" t="s">
        <v>5239</v>
      </c>
      <c r="F2211" s="338" t="s">
        <v>5238</v>
      </c>
      <c r="G2211" s="338" t="s">
        <v>413</v>
      </c>
      <c r="H2211" s="338" t="s">
        <v>425</v>
      </c>
      <c r="I2211" s="338" t="s">
        <v>411</v>
      </c>
      <c r="J2211" s="339"/>
      <c r="K2211" s="339"/>
      <c r="L2211" s="339"/>
      <c r="M2211" s="339"/>
      <c r="N2211" s="338"/>
      <c r="O2211" s="338" t="s">
        <v>417</v>
      </c>
      <c r="P2211" s="338" t="s">
        <v>408</v>
      </c>
    </row>
    <row r="2212" spans="2:16" x14ac:dyDescent="0.25">
      <c r="B2212" s="336" t="s">
        <v>1441</v>
      </c>
      <c r="C2212" s="337">
        <v>40117</v>
      </c>
      <c r="D2212" s="338" t="s">
        <v>5237</v>
      </c>
      <c r="E2212" s="338" t="s">
        <v>5236</v>
      </c>
      <c r="F2212" s="338"/>
      <c r="G2212" s="338" t="s">
        <v>413</v>
      </c>
      <c r="H2212" s="338" t="s">
        <v>412</v>
      </c>
      <c r="I2212" s="338" t="s">
        <v>411</v>
      </c>
      <c r="J2212" s="339"/>
      <c r="K2212" s="339"/>
      <c r="L2212" s="339" t="s">
        <v>409</v>
      </c>
      <c r="M2212" s="339" t="s">
        <v>409</v>
      </c>
      <c r="N2212" s="338" t="s">
        <v>417</v>
      </c>
      <c r="O2212" s="338" t="s">
        <v>409</v>
      </c>
      <c r="P2212" s="338" t="s">
        <v>432</v>
      </c>
    </row>
    <row r="2213" spans="2:16" x14ac:dyDescent="0.25">
      <c r="B2213" s="336" t="s">
        <v>416</v>
      </c>
      <c r="C2213" s="337">
        <v>40116</v>
      </c>
      <c r="D2213" s="338" t="s">
        <v>5235</v>
      </c>
      <c r="E2213" s="338" t="s">
        <v>5234</v>
      </c>
      <c r="F2213" s="338"/>
      <c r="G2213" s="338" t="s">
        <v>413</v>
      </c>
      <c r="H2213" s="338" t="s">
        <v>412</v>
      </c>
      <c r="I2213" s="338" t="s">
        <v>411</v>
      </c>
      <c r="J2213" s="339"/>
      <c r="K2213" s="339"/>
      <c r="L2213" s="339" t="s">
        <v>409</v>
      </c>
      <c r="M2213" s="339" t="s">
        <v>409</v>
      </c>
      <c r="N2213" s="338" t="s">
        <v>417</v>
      </c>
      <c r="O2213" s="338" t="s">
        <v>409</v>
      </c>
      <c r="P2213" s="338" t="s">
        <v>487</v>
      </c>
    </row>
    <row r="2214" spans="2:16" x14ac:dyDescent="0.25">
      <c r="B2214" s="336" t="s">
        <v>416</v>
      </c>
      <c r="C2214" s="337">
        <v>40115</v>
      </c>
      <c r="D2214" s="338" t="s">
        <v>5233</v>
      </c>
      <c r="E2214" s="338" t="s">
        <v>5232</v>
      </c>
      <c r="F2214" s="338"/>
      <c r="G2214" s="338" t="s">
        <v>413</v>
      </c>
      <c r="H2214" s="338" t="s">
        <v>412</v>
      </c>
      <c r="I2214" s="338" t="s">
        <v>411</v>
      </c>
      <c r="J2214" s="339"/>
      <c r="K2214" s="339"/>
      <c r="L2214" s="339" t="s">
        <v>409</v>
      </c>
      <c r="M2214" s="339" t="s">
        <v>409</v>
      </c>
      <c r="N2214" s="338" t="s">
        <v>417</v>
      </c>
      <c r="O2214" s="338" t="s">
        <v>409</v>
      </c>
      <c r="P2214" s="338" t="s">
        <v>432</v>
      </c>
    </row>
    <row r="2215" spans="2:16" x14ac:dyDescent="0.25">
      <c r="B2215" s="336" t="s">
        <v>416</v>
      </c>
      <c r="C2215" s="337">
        <v>40115</v>
      </c>
      <c r="D2215" s="338" t="s">
        <v>5231</v>
      </c>
      <c r="E2215" s="338" t="s">
        <v>5230</v>
      </c>
      <c r="F2215" s="338" t="s">
        <v>3668</v>
      </c>
      <c r="G2215" s="338" t="s">
        <v>413</v>
      </c>
      <c r="H2215" s="338" t="s">
        <v>425</v>
      </c>
      <c r="I2215" s="338" t="s">
        <v>411</v>
      </c>
      <c r="J2215" s="339"/>
      <c r="K2215" s="339"/>
      <c r="L2215" s="339"/>
      <c r="M2215" s="339"/>
      <c r="N2215" s="338"/>
      <c r="O2215" s="338" t="s">
        <v>408</v>
      </c>
      <c r="P2215" s="338" t="s">
        <v>408</v>
      </c>
    </row>
    <row r="2216" spans="2:16" x14ac:dyDescent="0.25">
      <c r="B2216" s="336" t="s">
        <v>416</v>
      </c>
      <c r="C2216" s="337">
        <v>40115</v>
      </c>
      <c r="D2216" s="338" t="s">
        <v>5229</v>
      </c>
      <c r="E2216" s="338" t="s">
        <v>4732</v>
      </c>
      <c r="F2216" s="338"/>
      <c r="G2216" s="338">
        <v>1.45</v>
      </c>
      <c r="H2216" s="338" t="s">
        <v>425</v>
      </c>
      <c r="I2216" s="338" t="s">
        <v>411</v>
      </c>
      <c r="J2216" s="339"/>
      <c r="K2216" s="339"/>
      <c r="L2216" s="339" t="s">
        <v>409</v>
      </c>
      <c r="M2216" s="339" t="s">
        <v>409</v>
      </c>
      <c r="N2216" s="338" t="s">
        <v>417</v>
      </c>
      <c r="O2216" s="338" t="s">
        <v>409</v>
      </c>
      <c r="P2216" s="338" t="s">
        <v>417</v>
      </c>
    </row>
    <row r="2217" spans="2:16" x14ac:dyDescent="0.25">
      <c r="B2217" s="336" t="s">
        <v>416</v>
      </c>
      <c r="C2217" s="337">
        <v>40113</v>
      </c>
      <c r="D2217" s="338" t="s">
        <v>5228</v>
      </c>
      <c r="E2217" s="338" t="s">
        <v>1415</v>
      </c>
      <c r="F2217" s="338" t="s">
        <v>4972</v>
      </c>
      <c r="G2217" s="338">
        <v>63.5</v>
      </c>
      <c r="H2217" s="338" t="s">
        <v>425</v>
      </c>
      <c r="I2217" s="338" t="s">
        <v>411</v>
      </c>
      <c r="J2217" s="339"/>
      <c r="K2217" s="339"/>
      <c r="L2217" s="339"/>
      <c r="M2217" s="339"/>
      <c r="N2217" s="338"/>
      <c r="O2217" s="338" t="s">
        <v>543</v>
      </c>
      <c r="P2217" s="338" t="s">
        <v>417</v>
      </c>
    </row>
    <row r="2218" spans="2:16" x14ac:dyDescent="0.25">
      <c r="B2218" s="336" t="s">
        <v>416</v>
      </c>
      <c r="C2218" s="337">
        <v>40113</v>
      </c>
      <c r="D2218" s="338" t="s">
        <v>5227</v>
      </c>
      <c r="E2218" s="338" t="s">
        <v>475</v>
      </c>
      <c r="F2218" s="338"/>
      <c r="G2218" s="338" t="s">
        <v>413</v>
      </c>
      <c r="H2218" s="338" t="s">
        <v>425</v>
      </c>
      <c r="I2218" s="338" t="s">
        <v>411</v>
      </c>
      <c r="J2218" s="339"/>
      <c r="K2218" s="339"/>
      <c r="L2218" s="339" t="s">
        <v>409</v>
      </c>
      <c r="M2218" s="339" t="s">
        <v>409</v>
      </c>
      <c r="N2218" s="338"/>
      <c r="O2218" s="338" t="s">
        <v>409</v>
      </c>
      <c r="P2218" s="338" t="s">
        <v>417</v>
      </c>
    </row>
    <row r="2219" spans="2:16" x14ac:dyDescent="0.25">
      <c r="B2219" s="336" t="s">
        <v>416</v>
      </c>
      <c r="C2219" s="337">
        <v>40112</v>
      </c>
      <c r="D2219" s="338" t="s">
        <v>2156</v>
      </c>
      <c r="E2219" s="338" t="s">
        <v>5226</v>
      </c>
      <c r="F2219" s="338"/>
      <c r="G2219" s="338">
        <v>140</v>
      </c>
      <c r="H2219" s="338" t="s">
        <v>425</v>
      </c>
      <c r="I2219" s="338" t="s">
        <v>411</v>
      </c>
      <c r="J2219" s="339"/>
      <c r="K2219" s="339"/>
      <c r="L2219" s="339" t="s">
        <v>409</v>
      </c>
      <c r="M2219" s="339" t="s">
        <v>409</v>
      </c>
      <c r="N2219" s="338" t="s">
        <v>417</v>
      </c>
      <c r="O2219" s="338" t="s">
        <v>409</v>
      </c>
      <c r="P2219" s="338" t="s">
        <v>417</v>
      </c>
    </row>
    <row r="2220" spans="2:16" x14ac:dyDescent="0.25">
      <c r="B2220" s="336" t="s">
        <v>541</v>
      </c>
      <c r="C2220" s="337">
        <v>40112</v>
      </c>
      <c r="D2220" s="338" t="s">
        <v>631</v>
      </c>
      <c r="E2220" s="338" t="s">
        <v>539</v>
      </c>
      <c r="F2220" s="338" t="s">
        <v>3965</v>
      </c>
      <c r="G2220" s="338">
        <v>15.49</v>
      </c>
      <c r="H2220" s="338"/>
      <c r="I2220" s="338" t="s">
        <v>411</v>
      </c>
      <c r="J2220" s="339">
        <v>1.07605</v>
      </c>
      <c r="K2220" s="339">
        <v>19.788900000000002</v>
      </c>
      <c r="L2220" s="339">
        <v>3.1034000000000002</v>
      </c>
      <c r="M2220" s="339">
        <v>28.1661</v>
      </c>
      <c r="N2220" s="338" t="s">
        <v>417</v>
      </c>
      <c r="O2220" s="338" t="s">
        <v>417</v>
      </c>
      <c r="P2220" s="338" t="s">
        <v>409</v>
      </c>
    </row>
    <row r="2221" spans="2:16" x14ac:dyDescent="0.25">
      <c r="B2221" s="336" t="s">
        <v>416</v>
      </c>
      <c r="C2221" s="337">
        <v>40109</v>
      </c>
      <c r="D2221" s="338" t="s">
        <v>5225</v>
      </c>
      <c r="E2221" s="338" t="s">
        <v>1619</v>
      </c>
      <c r="F2221" s="338" t="s">
        <v>4108</v>
      </c>
      <c r="G2221" s="338">
        <v>19</v>
      </c>
      <c r="H2221" s="338" t="s">
        <v>425</v>
      </c>
      <c r="I2221" s="338" t="s">
        <v>411</v>
      </c>
      <c r="J2221" s="339"/>
      <c r="K2221" s="339"/>
      <c r="L2221" s="339">
        <v>8.7330599999999994E-2</v>
      </c>
      <c r="M2221" s="339">
        <v>554.82000000000005</v>
      </c>
      <c r="N2221" s="338"/>
      <c r="O2221" s="338" t="s">
        <v>417</v>
      </c>
      <c r="P2221" s="338" t="s">
        <v>417</v>
      </c>
    </row>
    <row r="2222" spans="2:16" x14ac:dyDescent="0.25">
      <c r="B2222" s="336" t="s">
        <v>416</v>
      </c>
      <c r="C2222" s="337">
        <v>40109</v>
      </c>
      <c r="D2222" s="338" t="s">
        <v>5224</v>
      </c>
      <c r="E2222" s="338" t="s">
        <v>5222</v>
      </c>
      <c r="F2222" s="338"/>
      <c r="G2222" s="338" t="s">
        <v>413</v>
      </c>
      <c r="H2222" s="338" t="s">
        <v>429</v>
      </c>
      <c r="I2222" s="338" t="s">
        <v>411</v>
      </c>
      <c r="J2222" s="339"/>
      <c r="K2222" s="339"/>
      <c r="L2222" s="339" t="s">
        <v>409</v>
      </c>
      <c r="M2222" s="339" t="s">
        <v>409</v>
      </c>
      <c r="N2222" s="338" t="s">
        <v>417</v>
      </c>
      <c r="O2222" s="338" t="s">
        <v>409</v>
      </c>
      <c r="P2222" s="338" t="s">
        <v>417</v>
      </c>
    </row>
    <row r="2223" spans="2:16" x14ac:dyDescent="0.25">
      <c r="B2223" s="336" t="s">
        <v>1441</v>
      </c>
      <c r="C2223" s="337">
        <v>40109</v>
      </c>
      <c r="D2223" s="338" t="s">
        <v>5223</v>
      </c>
      <c r="E2223" s="338" t="s">
        <v>5222</v>
      </c>
      <c r="F2223" s="338"/>
      <c r="G2223" s="338" t="s">
        <v>413</v>
      </c>
      <c r="H2223" s="338" t="s">
        <v>425</v>
      </c>
      <c r="I2223" s="338" t="s">
        <v>411</v>
      </c>
      <c r="J2223" s="339"/>
      <c r="K2223" s="339"/>
      <c r="L2223" s="339" t="s">
        <v>409</v>
      </c>
      <c r="M2223" s="339" t="s">
        <v>409</v>
      </c>
      <c r="N2223" s="338" t="s">
        <v>432</v>
      </c>
      <c r="O2223" s="338" t="s">
        <v>409</v>
      </c>
      <c r="P2223" s="338" t="s">
        <v>417</v>
      </c>
    </row>
    <row r="2224" spans="2:16" x14ac:dyDescent="0.25">
      <c r="B2224" s="336" t="s">
        <v>416</v>
      </c>
      <c r="C2224" s="337">
        <v>40108</v>
      </c>
      <c r="D2224" s="338" t="s">
        <v>3697</v>
      </c>
      <c r="E2224" s="338" t="s">
        <v>5221</v>
      </c>
      <c r="F2224" s="338"/>
      <c r="G2224" s="338" t="s">
        <v>413</v>
      </c>
      <c r="H2224" s="338" t="s">
        <v>412</v>
      </c>
      <c r="I2224" s="338" t="s">
        <v>411</v>
      </c>
      <c r="J2224" s="339"/>
      <c r="K2224" s="339"/>
      <c r="L2224" s="339" t="s">
        <v>409</v>
      </c>
      <c r="M2224" s="339" t="s">
        <v>409</v>
      </c>
      <c r="N2224" s="338" t="s">
        <v>417</v>
      </c>
      <c r="O2224" s="338" t="s">
        <v>409</v>
      </c>
      <c r="P2224" s="338" t="s">
        <v>410</v>
      </c>
    </row>
    <row r="2225" spans="2:16" x14ac:dyDescent="0.25">
      <c r="B2225" s="336" t="s">
        <v>416</v>
      </c>
      <c r="C2225" s="337">
        <v>40106</v>
      </c>
      <c r="D2225" s="338" t="s">
        <v>5220</v>
      </c>
      <c r="E2225" s="338" t="s">
        <v>5135</v>
      </c>
      <c r="F2225" s="338"/>
      <c r="G2225" s="338" t="s">
        <v>413</v>
      </c>
      <c r="H2225" s="338" t="s">
        <v>412</v>
      </c>
      <c r="I2225" s="338" t="s">
        <v>411</v>
      </c>
      <c r="J2225" s="339"/>
      <c r="K2225" s="339"/>
      <c r="L2225" s="339" t="s">
        <v>409</v>
      </c>
      <c r="M2225" s="339" t="s">
        <v>409</v>
      </c>
      <c r="N2225" s="338" t="s">
        <v>417</v>
      </c>
      <c r="O2225" s="338" t="s">
        <v>409</v>
      </c>
      <c r="P2225" s="338" t="s">
        <v>417</v>
      </c>
    </row>
    <row r="2226" spans="2:16" x14ac:dyDescent="0.25">
      <c r="B2226" s="336" t="s">
        <v>416</v>
      </c>
      <c r="C2226" s="337">
        <v>40106</v>
      </c>
      <c r="D2226" s="338" t="s">
        <v>5219</v>
      </c>
      <c r="E2226" s="338" t="s">
        <v>1363</v>
      </c>
      <c r="F2226" s="338"/>
      <c r="G2226" s="338" t="s">
        <v>413</v>
      </c>
      <c r="H2226" s="338" t="s">
        <v>412</v>
      </c>
      <c r="I2226" s="338" t="s">
        <v>411</v>
      </c>
      <c r="J2226" s="339"/>
      <c r="K2226" s="339"/>
      <c r="L2226" s="339" t="s">
        <v>409</v>
      </c>
      <c r="M2226" s="339" t="s">
        <v>409</v>
      </c>
      <c r="N2226" s="338" t="s">
        <v>432</v>
      </c>
      <c r="O2226" s="338" t="s">
        <v>409</v>
      </c>
      <c r="P2226" s="338" t="s">
        <v>417</v>
      </c>
    </row>
    <row r="2227" spans="2:16" x14ac:dyDescent="0.25">
      <c r="B2227" s="336" t="s">
        <v>416</v>
      </c>
      <c r="C2227" s="337">
        <v>40105</v>
      </c>
      <c r="D2227" s="338" t="s">
        <v>5218</v>
      </c>
      <c r="E2227" s="338" t="s">
        <v>669</v>
      </c>
      <c r="F2227" s="338" t="s">
        <v>463</v>
      </c>
      <c r="G2227" s="338" t="s">
        <v>413</v>
      </c>
      <c r="H2227" s="338" t="s">
        <v>425</v>
      </c>
      <c r="I2227" s="338" t="s">
        <v>411</v>
      </c>
      <c r="J2227" s="339"/>
      <c r="K2227" s="339"/>
      <c r="L2227" s="339">
        <v>0.43101099999999998</v>
      </c>
      <c r="M2227" s="339">
        <v>12.176500000000001</v>
      </c>
      <c r="N2227" s="338"/>
      <c r="O2227" s="338" t="s">
        <v>417</v>
      </c>
      <c r="P2227" s="338"/>
    </row>
    <row r="2228" spans="2:16" x14ac:dyDescent="0.25">
      <c r="B2228" s="336" t="s">
        <v>1441</v>
      </c>
      <c r="C2228" s="337">
        <v>40105</v>
      </c>
      <c r="D2228" s="338" t="s">
        <v>5217</v>
      </c>
      <c r="E2228" s="338" t="s">
        <v>1904</v>
      </c>
      <c r="F2228" s="338"/>
      <c r="G2228" s="338" t="s">
        <v>413</v>
      </c>
      <c r="H2228" s="338" t="s">
        <v>412</v>
      </c>
      <c r="I2228" s="338" t="s">
        <v>411</v>
      </c>
      <c r="J2228" s="339"/>
      <c r="K2228" s="339"/>
      <c r="L2228" s="339" t="s">
        <v>409</v>
      </c>
      <c r="M2228" s="339" t="s">
        <v>409</v>
      </c>
      <c r="N2228" s="338" t="s">
        <v>432</v>
      </c>
      <c r="O2228" s="338" t="s">
        <v>409</v>
      </c>
      <c r="P2228" s="338" t="s">
        <v>417</v>
      </c>
    </row>
    <row r="2229" spans="2:16" x14ac:dyDescent="0.25">
      <c r="B2229" s="336" t="s">
        <v>416</v>
      </c>
      <c r="C2229" s="337">
        <v>40105</v>
      </c>
      <c r="D2229" s="338" t="s">
        <v>825</v>
      </c>
      <c r="E2229" s="338" t="s">
        <v>2173</v>
      </c>
      <c r="F2229" s="338"/>
      <c r="G2229" s="338">
        <v>253.2</v>
      </c>
      <c r="H2229" s="338" t="s">
        <v>425</v>
      </c>
      <c r="I2229" s="338" t="s">
        <v>411</v>
      </c>
      <c r="J2229" s="339">
        <v>0.56813100000000005</v>
      </c>
      <c r="K2229" s="339">
        <v>6.6396199999999999</v>
      </c>
      <c r="L2229" s="339" t="s">
        <v>409</v>
      </c>
      <c r="M2229" s="339" t="s">
        <v>409</v>
      </c>
      <c r="N2229" s="338" t="s">
        <v>417</v>
      </c>
      <c r="O2229" s="338" t="s">
        <v>409</v>
      </c>
      <c r="P2229" s="338" t="s">
        <v>443</v>
      </c>
    </row>
    <row r="2230" spans="2:16" x14ac:dyDescent="0.25">
      <c r="B2230" s="336" t="s">
        <v>416</v>
      </c>
      <c r="C2230" s="337">
        <v>40105</v>
      </c>
      <c r="D2230" s="338" t="s">
        <v>5216</v>
      </c>
      <c r="E2230" s="338" t="s">
        <v>5215</v>
      </c>
      <c r="F2230" s="338"/>
      <c r="G2230" s="338" t="s">
        <v>413</v>
      </c>
      <c r="H2230" s="338" t="s">
        <v>412</v>
      </c>
      <c r="I2230" s="338" t="s">
        <v>411</v>
      </c>
      <c r="J2230" s="339"/>
      <c r="K2230" s="339"/>
      <c r="L2230" s="339" t="s">
        <v>409</v>
      </c>
      <c r="M2230" s="339" t="s">
        <v>409</v>
      </c>
      <c r="N2230" s="338" t="s">
        <v>417</v>
      </c>
      <c r="O2230" s="338" t="s">
        <v>409</v>
      </c>
      <c r="P2230" s="338" t="s">
        <v>417</v>
      </c>
    </row>
    <row r="2231" spans="2:16" x14ac:dyDescent="0.25">
      <c r="B2231" s="336" t="s">
        <v>416</v>
      </c>
      <c r="C2231" s="337">
        <v>40101</v>
      </c>
      <c r="D2231" s="338" t="s">
        <v>956</v>
      </c>
      <c r="E2231" s="338" t="s">
        <v>5214</v>
      </c>
      <c r="F2231" s="338"/>
      <c r="G2231" s="338" t="s">
        <v>413</v>
      </c>
      <c r="H2231" s="338" t="s">
        <v>425</v>
      </c>
      <c r="I2231" s="338" t="s">
        <v>411</v>
      </c>
      <c r="J2231" s="339"/>
      <c r="K2231" s="339"/>
      <c r="L2231" s="339" t="s">
        <v>409</v>
      </c>
      <c r="M2231" s="339" t="s">
        <v>409</v>
      </c>
      <c r="N2231" s="338"/>
      <c r="O2231" s="338" t="s">
        <v>409</v>
      </c>
      <c r="P2231" s="338" t="s">
        <v>417</v>
      </c>
    </row>
    <row r="2232" spans="2:16" x14ac:dyDescent="0.25">
      <c r="B2232" s="336" t="s">
        <v>416</v>
      </c>
      <c r="C2232" s="337">
        <v>40100</v>
      </c>
      <c r="D2232" s="338" t="s">
        <v>5213</v>
      </c>
      <c r="E2232" s="338" t="s">
        <v>514</v>
      </c>
      <c r="F2232" s="338" t="s">
        <v>1904</v>
      </c>
      <c r="G2232" s="338" t="s">
        <v>413</v>
      </c>
      <c r="H2232" s="338" t="s">
        <v>425</v>
      </c>
      <c r="I2232" s="338" t="s">
        <v>411</v>
      </c>
      <c r="J2232" s="339"/>
      <c r="K2232" s="339"/>
      <c r="L2232" s="339"/>
      <c r="M2232" s="339"/>
      <c r="N2232" s="338" t="s">
        <v>432</v>
      </c>
      <c r="O2232" s="338" t="s">
        <v>417</v>
      </c>
      <c r="P2232" s="338"/>
    </row>
    <row r="2233" spans="2:16" x14ac:dyDescent="0.25">
      <c r="B2233" s="336" t="s">
        <v>459</v>
      </c>
      <c r="C2233" s="337">
        <v>40099</v>
      </c>
      <c r="D2233" s="338" t="s">
        <v>3689</v>
      </c>
      <c r="E2233" s="338" t="s">
        <v>1420</v>
      </c>
      <c r="F2233" s="338"/>
      <c r="G2233" s="338" t="s">
        <v>413</v>
      </c>
      <c r="H2233" s="338" t="s">
        <v>425</v>
      </c>
      <c r="I2233" s="338" t="s">
        <v>411</v>
      </c>
      <c r="J2233" s="339"/>
      <c r="K2233" s="339"/>
      <c r="L2233" s="339" t="s">
        <v>409</v>
      </c>
      <c r="M2233" s="339" t="s">
        <v>409</v>
      </c>
      <c r="N2233" s="338" t="s">
        <v>417</v>
      </c>
      <c r="O2233" s="338" t="s">
        <v>409</v>
      </c>
      <c r="P2233" s="338" t="s">
        <v>443</v>
      </c>
    </row>
    <row r="2234" spans="2:16" x14ac:dyDescent="0.25">
      <c r="B2234" s="336" t="s">
        <v>416</v>
      </c>
      <c r="C2234" s="337">
        <v>40099</v>
      </c>
      <c r="D2234" s="338" t="s">
        <v>1728</v>
      </c>
      <c r="E2234" s="338" t="s">
        <v>3837</v>
      </c>
      <c r="F2234" s="338"/>
      <c r="G2234" s="338">
        <v>35.64</v>
      </c>
      <c r="H2234" s="338" t="s">
        <v>671</v>
      </c>
      <c r="I2234" s="338" t="s">
        <v>411</v>
      </c>
      <c r="J2234" s="339">
        <v>0.451289</v>
      </c>
      <c r="K2234" s="339">
        <v>2.4536799999999999</v>
      </c>
      <c r="L2234" s="339" t="s">
        <v>409</v>
      </c>
      <c r="M2234" s="339" t="s">
        <v>409</v>
      </c>
      <c r="N2234" s="338" t="s">
        <v>417</v>
      </c>
      <c r="O2234" s="338" t="s">
        <v>409</v>
      </c>
      <c r="P2234" s="338" t="s">
        <v>432</v>
      </c>
    </row>
    <row r="2235" spans="2:16" x14ac:dyDescent="0.25">
      <c r="B2235" s="336" t="s">
        <v>416</v>
      </c>
      <c r="C2235" s="337">
        <v>40099</v>
      </c>
      <c r="D2235" s="338" t="s">
        <v>956</v>
      </c>
      <c r="E2235" s="338" t="s">
        <v>3843</v>
      </c>
      <c r="F2235" s="338" t="s">
        <v>5212</v>
      </c>
      <c r="G2235" s="338">
        <v>4.3499999999999996</v>
      </c>
      <c r="H2235" s="338" t="s">
        <v>425</v>
      </c>
      <c r="I2235" s="338" t="s">
        <v>411</v>
      </c>
      <c r="J2235" s="339"/>
      <c r="K2235" s="339"/>
      <c r="L2235" s="339"/>
      <c r="M2235" s="339"/>
      <c r="N2235" s="338"/>
      <c r="O2235" s="338" t="s">
        <v>417</v>
      </c>
      <c r="P2235" s="338" t="s">
        <v>417</v>
      </c>
    </row>
    <row r="2236" spans="2:16" x14ac:dyDescent="0.25">
      <c r="B2236" s="336" t="s">
        <v>416</v>
      </c>
      <c r="C2236" s="337">
        <v>40099</v>
      </c>
      <c r="D2236" s="338" t="s">
        <v>5211</v>
      </c>
      <c r="E2236" s="338" t="s">
        <v>5210</v>
      </c>
      <c r="F2236" s="338" t="s">
        <v>2571</v>
      </c>
      <c r="G2236" s="338">
        <v>11</v>
      </c>
      <c r="H2236" s="338" t="s">
        <v>425</v>
      </c>
      <c r="I2236" s="338" t="s">
        <v>411</v>
      </c>
      <c r="J2236" s="339"/>
      <c r="K2236" s="339"/>
      <c r="L2236" s="339">
        <v>1.20787</v>
      </c>
      <c r="M2236" s="339">
        <v>8.8263300000000005</v>
      </c>
      <c r="N2236" s="338"/>
      <c r="O2236" s="338" t="s">
        <v>417</v>
      </c>
      <c r="P2236" s="338" t="s">
        <v>443</v>
      </c>
    </row>
    <row r="2237" spans="2:16" x14ac:dyDescent="0.25">
      <c r="B2237" s="336" t="s">
        <v>459</v>
      </c>
      <c r="C2237" s="337">
        <v>40098</v>
      </c>
      <c r="D2237" s="338" t="s">
        <v>5209</v>
      </c>
      <c r="E2237" s="338" t="s">
        <v>5208</v>
      </c>
      <c r="F2237" s="338"/>
      <c r="G2237" s="338">
        <v>10</v>
      </c>
      <c r="H2237" s="338" t="s">
        <v>425</v>
      </c>
      <c r="I2237" s="338" t="s">
        <v>411</v>
      </c>
      <c r="J2237" s="339"/>
      <c r="K2237" s="339"/>
      <c r="L2237" s="339" t="s">
        <v>409</v>
      </c>
      <c r="M2237" s="339" t="s">
        <v>409</v>
      </c>
      <c r="N2237" s="338" t="s">
        <v>417</v>
      </c>
      <c r="O2237" s="338" t="s">
        <v>409</v>
      </c>
      <c r="P2237" s="338"/>
    </row>
    <row r="2238" spans="2:16" x14ac:dyDescent="0.25">
      <c r="B2238" s="336" t="s">
        <v>416</v>
      </c>
      <c r="C2238" s="337">
        <v>40094</v>
      </c>
      <c r="D2238" s="338" t="s">
        <v>5207</v>
      </c>
      <c r="E2238" s="338" t="s">
        <v>5196</v>
      </c>
      <c r="F2238" s="338" t="s">
        <v>5206</v>
      </c>
      <c r="G2238" s="338" t="s">
        <v>413</v>
      </c>
      <c r="H2238" s="338" t="s">
        <v>425</v>
      </c>
      <c r="I2238" s="338" t="s">
        <v>411</v>
      </c>
      <c r="J2238" s="339"/>
      <c r="K2238" s="339"/>
      <c r="L2238" s="339"/>
      <c r="M2238" s="339"/>
      <c r="N2238" s="338"/>
      <c r="O2238" s="338" t="s">
        <v>417</v>
      </c>
      <c r="P2238" s="338" t="s">
        <v>605</v>
      </c>
    </row>
    <row r="2239" spans="2:16" x14ac:dyDescent="0.25">
      <c r="B2239" s="336" t="s">
        <v>416</v>
      </c>
      <c r="C2239" s="337">
        <v>40094</v>
      </c>
      <c r="D2239" s="338" t="s">
        <v>5205</v>
      </c>
      <c r="E2239" s="338" t="s">
        <v>5204</v>
      </c>
      <c r="F2239" s="338"/>
      <c r="G2239" s="338" t="s">
        <v>413</v>
      </c>
      <c r="H2239" s="338" t="s">
        <v>412</v>
      </c>
      <c r="I2239" s="338" t="s">
        <v>411</v>
      </c>
      <c r="J2239" s="339"/>
      <c r="K2239" s="339"/>
      <c r="L2239" s="339" t="s">
        <v>409</v>
      </c>
      <c r="M2239" s="339" t="s">
        <v>409</v>
      </c>
      <c r="N2239" s="338" t="s">
        <v>410</v>
      </c>
      <c r="O2239" s="338" t="s">
        <v>409</v>
      </c>
      <c r="P2239" s="338" t="s">
        <v>432</v>
      </c>
    </row>
    <row r="2240" spans="2:16" x14ac:dyDescent="0.25">
      <c r="B2240" s="336" t="s">
        <v>416</v>
      </c>
      <c r="C2240" s="337">
        <v>40094</v>
      </c>
      <c r="D2240" s="338" t="s">
        <v>5203</v>
      </c>
      <c r="E2240" s="338" t="s">
        <v>5134</v>
      </c>
      <c r="F2240" s="338"/>
      <c r="G2240" s="338" t="s">
        <v>413</v>
      </c>
      <c r="H2240" s="338" t="s">
        <v>412</v>
      </c>
      <c r="I2240" s="338" t="s">
        <v>411</v>
      </c>
      <c r="J2240" s="339"/>
      <c r="K2240" s="339"/>
      <c r="L2240" s="339" t="s">
        <v>409</v>
      </c>
      <c r="M2240" s="339" t="s">
        <v>409</v>
      </c>
      <c r="N2240" s="338" t="s">
        <v>417</v>
      </c>
      <c r="O2240" s="338" t="s">
        <v>409</v>
      </c>
      <c r="P2240" s="338" t="s">
        <v>443</v>
      </c>
    </row>
    <row r="2241" spans="2:16" x14ac:dyDescent="0.25">
      <c r="B2241" s="336" t="s">
        <v>416</v>
      </c>
      <c r="C2241" s="337">
        <v>40093</v>
      </c>
      <c r="D2241" s="338" t="s">
        <v>5202</v>
      </c>
      <c r="E2241" s="338" t="s">
        <v>764</v>
      </c>
      <c r="F2241" s="338" t="s">
        <v>5201</v>
      </c>
      <c r="G2241" s="338">
        <v>2300</v>
      </c>
      <c r="H2241" s="338" t="s">
        <v>425</v>
      </c>
      <c r="I2241" s="338" t="s">
        <v>411</v>
      </c>
      <c r="J2241" s="339"/>
      <c r="K2241" s="339"/>
      <c r="L2241" s="339">
        <v>4.9866099999999998</v>
      </c>
      <c r="M2241" s="339">
        <v>12.5318</v>
      </c>
      <c r="N2241" s="338" t="s">
        <v>417</v>
      </c>
      <c r="O2241" s="338" t="s">
        <v>410</v>
      </c>
      <c r="P2241" s="338" t="s">
        <v>443</v>
      </c>
    </row>
    <row r="2242" spans="2:16" x14ac:dyDescent="0.25">
      <c r="B2242" s="336" t="s">
        <v>416</v>
      </c>
      <c r="C2242" s="337">
        <v>40092</v>
      </c>
      <c r="D2242" s="338" t="s">
        <v>5200</v>
      </c>
      <c r="E2242" s="338" t="s">
        <v>5199</v>
      </c>
      <c r="F2242" s="338" t="s">
        <v>5198</v>
      </c>
      <c r="G2242" s="338">
        <v>26.65</v>
      </c>
      <c r="H2242" s="338" t="s">
        <v>425</v>
      </c>
      <c r="I2242" s="338" t="s">
        <v>411</v>
      </c>
      <c r="J2242" s="339"/>
      <c r="K2242" s="339"/>
      <c r="L2242" s="339">
        <v>4.5427400000000002</v>
      </c>
      <c r="M2242" s="339"/>
      <c r="N2242" s="338"/>
      <c r="O2242" s="338" t="s">
        <v>885</v>
      </c>
      <c r="P2242" s="338" t="s">
        <v>885</v>
      </c>
    </row>
    <row r="2243" spans="2:16" x14ac:dyDescent="0.25">
      <c r="B2243" s="336" t="s">
        <v>416</v>
      </c>
      <c r="C2243" s="337">
        <v>40092</v>
      </c>
      <c r="D2243" s="338" t="s">
        <v>5197</v>
      </c>
      <c r="E2243" s="338" t="s">
        <v>5196</v>
      </c>
      <c r="F2243" s="338" t="s">
        <v>5195</v>
      </c>
      <c r="G2243" s="338" t="s">
        <v>413</v>
      </c>
      <c r="H2243" s="338" t="s">
        <v>425</v>
      </c>
      <c r="I2243" s="338" t="s">
        <v>411</v>
      </c>
      <c r="J2243" s="339"/>
      <c r="K2243" s="339"/>
      <c r="L2243" s="339"/>
      <c r="M2243" s="339"/>
      <c r="N2243" s="338"/>
      <c r="O2243" s="338" t="s">
        <v>417</v>
      </c>
      <c r="P2243" s="338" t="s">
        <v>605</v>
      </c>
    </row>
    <row r="2244" spans="2:16" x14ac:dyDescent="0.25">
      <c r="B2244" s="336" t="s">
        <v>416</v>
      </c>
      <c r="C2244" s="337">
        <v>40091</v>
      </c>
      <c r="D2244" s="338" t="s">
        <v>5194</v>
      </c>
      <c r="E2244" s="338" t="s">
        <v>5193</v>
      </c>
      <c r="F2244" s="338"/>
      <c r="G2244" s="338" t="s">
        <v>413</v>
      </c>
      <c r="H2244" s="338" t="s">
        <v>412</v>
      </c>
      <c r="I2244" s="338" t="s">
        <v>411</v>
      </c>
      <c r="J2244" s="339"/>
      <c r="K2244" s="339"/>
      <c r="L2244" s="339" t="s">
        <v>409</v>
      </c>
      <c r="M2244" s="339" t="s">
        <v>409</v>
      </c>
      <c r="N2244" s="338" t="s">
        <v>417</v>
      </c>
      <c r="O2244" s="338" t="s">
        <v>409</v>
      </c>
      <c r="P2244" s="338" t="s">
        <v>417</v>
      </c>
    </row>
    <row r="2245" spans="2:16" x14ac:dyDescent="0.25">
      <c r="B2245" s="336" t="s">
        <v>416</v>
      </c>
      <c r="C2245" s="337">
        <v>40091</v>
      </c>
      <c r="D2245" s="338" t="s">
        <v>5192</v>
      </c>
      <c r="E2245" s="338" t="s">
        <v>793</v>
      </c>
      <c r="F2245" s="338"/>
      <c r="G2245" s="338" t="s">
        <v>413</v>
      </c>
      <c r="H2245" s="338" t="s">
        <v>412</v>
      </c>
      <c r="I2245" s="338" t="s">
        <v>411</v>
      </c>
      <c r="J2245" s="339"/>
      <c r="K2245" s="339"/>
      <c r="L2245" s="339" t="s">
        <v>409</v>
      </c>
      <c r="M2245" s="339" t="s">
        <v>409</v>
      </c>
      <c r="N2245" s="338" t="s">
        <v>432</v>
      </c>
      <c r="O2245" s="338" t="s">
        <v>409</v>
      </c>
      <c r="P2245" s="338" t="s">
        <v>432</v>
      </c>
    </row>
    <row r="2246" spans="2:16" x14ac:dyDescent="0.25">
      <c r="B2246" s="336" t="s">
        <v>416</v>
      </c>
      <c r="C2246" s="337">
        <v>40091</v>
      </c>
      <c r="D2246" s="338" t="s">
        <v>5191</v>
      </c>
      <c r="E2246" s="338" t="s">
        <v>5190</v>
      </c>
      <c r="F2246" s="338"/>
      <c r="G2246" s="338" t="s">
        <v>413</v>
      </c>
      <c r="H2246" s="338" t="s">
        <v>412</v>
      </c>
      <c r="I2246" s="338" t="s">
        <v>411</v>
      </c>
      <c r="J2246" s="339"/>
      <c r="K2246" s="339"/>
      <c r="L2246" s="339" t="s">
        <v>409</v>
      </c>
      <c r="M2246" s="339" t="s">
        <v>409</v>
      </c>
      <c r="N2246" s="338" t="s">
        <v>417</v>
      </c>
      <c r="O2246" s="338" t="s">
        <v>409</v>
      </c>
      <c r="P2246" s="338" t="s">
        <v>417</v>
      </c>
    </row>
    <row r="2247" spans="2:16" x14ac:dyDescent="0.25">
      <c r="B2247" s="336" t="s">
        <v>416</v>
      </c>
      <c r="C2247" s="337">
        <v>40088</v>
      </c>
      <c r="D2247" s="338" t="s">
        <v>5189</v>
      </c>
      <c r="E2247" s="338" t="s">
        <v>2363</v>
      </c>
      <c r="F2247" s="338"/>
      <c r="G2247" s="338">
        <v>71</v>
      </c>
      <c r="H2247" s="338" t="s">
        <v>425</v>
      </c>
      <c r="I2247" s="338" t="s">
        <v>411</v>
      </c>
      <c r="J2247" s="339"/>
      <c r="K2247" s="339"/>
      <c r="L2247" s="339" t="s">
        <v>409</v>
      </c>
      <c r="M2247" s="339" t="s">
        <v>409</v>
      </c>
      <c r="N2247" s="338" t="s">
        <v>410</v>
      </c>
      <c r="O2247" s="338" t="s">
        <v>409</v>
      </c>
      <c r="P2247" s="338" t="s">
        <v>417</v>
      </c>
    </row>
    <row r="2248" spans="2:16" x14ac:dyDescent="0.25">
      <c r="B2248" s="336" t="s">
        <v>416</v>
      </c>
      <c r="C2248" s="337">
        <v>40088</v>
      </c>
      <c r="D2248" s="338" t="s">
        <v>1608</v>
      </c>
      <c r="E2248" s="338" t="s">
        <v>1527</v>
      </c>
      <c r="F2248" s="338" t="s">
        <v>819</v>
      </c>
      <c r="G2248" s="338" t="s">
        <v>413</v>
      </c>
      <c r="H2248" s="338" t="s">
        <v>412</v>
      </c>
      <c r="I2248" s="338" t="s">
        <v>411</v>
      </c>
      <c r="J2248" s="339"/>
      <c r="K2248" s="339"/>
      <c r="L2248" s="339">
        <v>0.45244400000000001</v>
      </c>
      <c r="M2248" s="339">
        <v>13.0085</v>
      </c>
      <c r="N2248" s="338" t="s">
        <v>417</v>
      </c>
      <c r="O2248" s="338" t="s">
        <v>482</v>
      </c>
      <c r="P2248" s="338" t="s">
        <v>417</v>
      </c>
    </row>
    <row r="2249" spans="2:16" x14ac:dyDescent="0.25">
      <c r="B2249" s="336" t="s">
        <v>416</v>
      </c>
      <c r="C2249" s="337">
        <v>40088</v>
      </c>
      <c r="D2249" s="338" t="s">
        <v>5188</v>
      </c>
      <c r="E2249" s="338" t="s">
        <v>2795</v>
      </c>
      <c r="F2249" s="338" t="s">
        <v>5187</v>
      </c>
      <c r="G2249" s="338" t="s">
        <v>413</v>
      </c>
      <c r="H2249" s="338" t="s">
        <v>425</v>
      </c>
      <c r="I2249" s="338" t="s">
        <v>411</v>
      </c>
      <c r="J2249" s="339"/>
      <c r="K2249" s="339"/>
      <c r="L2249" s="339"/>
      <c r="M2249" s="339"/>
      <c r="N2249" s="338"/>
      <c r="O2249" s="338" t="s">
        <v>410</v>
      </c>
      <c r="P2249" s="338" t="s">
        <v>443</v>
      </c>
    </row>
    <row r="2250" spans="2:16" x14ac:dyDescent="0.25">
      <c r="B2250" s="336" t="s">
        <v>416</v>
      </c>
      <c r="C2250" s="337">
        <v>40087</v>
      </c>
      <c r="D2250" s="338" t="s">
        <v>5186</v>
      </c>
      <c r="E2250" s="338" t="s">
        <v>5185</v>
      </c>
      <c r="F2250" s="338"/>
      <c r="G2250" s="338">
        <v>20</v>
      </c>
      <c r="H2250" s="338" t="s">
        <v>425</v>
      </c>
      <c r="I2250" s="338" t="s">
        <v>411</v>
      </c>
      <c r="J2250" s="339"/>
      <c r="K2250" s="339"/>
      <c r="L2250" s="339" t="s">
        <v>409</v>
      </c>
      <c r="M2250" s="339" t="s">
        <v>409</v>
      </c>
      <c r="N2250" s="338" t="s">
        <v>410</v>
      </c>
      <c r="O2250" s="338" t="s">
        <v>409</v>
      </c>
      <c r="P2250" s="338" t="s">
        <v>417</v>
      </c>
    </row>
    <row r="2251" spans="2:16" x14ac:dyDescent="0.25">
      <c r="B2251" s="336" t="s">
        <v>416</v>
      </c>
      <c r="C2251" s="337">
        <v>40087</v>
      </c>
      <c r="D2251" s="338" t="s">
        <v>3891</v>
      </c>
      <c r="E2251" s="338" t="s">
        <v>5184</v>
      </c>
      <c r="F2251" s="338"/>
      <c r="G2251" s="338" t="s">
        <v>413</v>
      </c>
      <c r="H2251" s="338" t="s">
        <v>412</v>
      </c>
      <c r="I2251" s="338" t="s">
        <v>411</v>
      </c>
      <c r="J2251" s="339"/>
      <c r="K2251" s="339"/>
      <c r="L2251" s="339" t="s">
        <v>409</v>
      </c>
      <c r="M2251" s="339" t="s">
        <v>409</v>
      </c>
      <c r="N2251" s="338"/>
      <c r="O2251" s="338" t="s">
        <v>409</v>
      </c>
      <c r="P2251" s="338" t="s">
        <v>417</v>
      </c>
    </row>
    <row r="2252" spans="2:16" x14ac:dyDescent="0.25">
      <c r="B2252" s="336" t="s">
        <v>459</v>
      </c>
      <c r="C2252" s="337">
        <v>40086</v>
      </c>
      <c r="D2252" s="338" t="s">
        <v>5183</v>
      </c>
      <c r="E2252" s="338" t="s">
        <v>5182</v>
      </c>
      <c r="F2252" s="338"/>
      <c r="G2252" s="338">
        <v>1.5</v>
      </c>
      <c r="H2252" s="338" t="s">
        <v>425</v>
      </c>
      <c r="I2252" s="338" t="s">
        <v>411</v>
      </c>
      <c r="J2252" s="339"/>
      <c r="K2252" s="339"/>
      <c r="L2252" s="339" t="s">
        <v>409</v>
      </c>
      <c r="M2252" s="339" t="s">
        <v>409</v>
      </c>
      <c r="N2252" s="338" t="s">
        <v>487</v>
      </c>
      <c r="O2252" s="338" t="s">
        <v>409</v>
      </c>
      <c r="P2252" s="338"/>
    </row>
    <row r="2253" spans="2:16" x14ac:dyDescent="0.25">
      <c r="B2253" s="336" t="s">
        <v>459</v>
      </c>
      <c r="C2253" s="337">
        <v>40085</v>
      </c>
      <c r="D2253" s="338" t="s">
        <v>5181</v>
      </c>
      <c r="E2253" s="338" t="s">
        <v>5180</v>
      </c>
      <c r="F2253" s="338"/>
      <c r="G2253" s="338" t="s">
        <v>413</v>
      </c>
      <c r="H2253" s="338" t="s">
        <v>425</v>
      </c>
      <c r="I2253" s="338" t="s">
        <v>411</v>
      </c>
      <c r="J2253" s="339"/>
      <c r="K2253" s="339"/>
      <c r="L2253" s="339" t="s">
        <v>409</v>
      </c>
      <c r="M2253" s="339" t="s">
        <v>409</v>
      </c>
      <c r="N2253" s="338" t="s">
        <v>417</v>
      </c>
      <c r="O2253" s="338" t="s">
        <v>409</v>
      </c>
      <c r="P2253" s="338" t="s">
        <v>443</v>
      </c>
    </row>
    <row r="2254" spans="2:16" x14ac:dyDescent="0.25">
      <c r="B2254" s="336" t="s">
        <v>459</v>
      </c>
      <c r="C2254" s="337">
        <v>40085</v>
      </c>
      <c r="D2254" s="338" t="s">
        <v>5179</v>
      </c>
      <c r="E2254" s="338" t="s">
        <v>5178</v>
      </c>
      <c r="F2254" s="338"/>
      <c r="G2254" s="338" t="s">
        <v>413</v>
      </c>
      <c r="H2254" s="338" t="s">
        <v>412</v>
      </c>
      <c r="I2254" s="338" t="s">
        <v>411</v>
      </c>
      <c r="J2254" s="339"/>
      <c r="K2254" s="339"/>
      <c r="L2254" s="339" t="s">
        <v>409</v>
      </c>
      <c r="M2254" s="339" t="s">
        <v>409</v>
      </c>
      <c r="N2254" s="338" t="s">
        <v>432</v>
      </c>
      <c r="O2254" s="338" t="s">
        <v>409</v>
      </c>
      <c r="P2254" s="338" t="s">
        <v>417</v>
      </c>
    </row>
    <row r="2255" spans="2:16" x14ac:dyDescent="0.25">
      <c r="B2255" s="336" t="s">
        <v>416</v>
      </c>
      <c r="C2255" s="337">
        <v>40085</v>
      </c>
      <c r="D2255" s="338" t="s">
        <v>5177</v>
      </c>
      <c r="E2255" s="338" t="s">
        <v>5176</v>
      </c>
      <c r="F2255" s="338" t="s">
        <v>5175</v>
      </c>
      <c r="G2255" s="338" t="s">
        <v>413</v>
      </c>
      <c r="H2255" s="338" t="s">
        <v>425</v>
      </c>
      <c r="I2255" s="338" t="s">
        <v>411</v>
      </c>
      <c r="J2255" s="339"/>
      <c r="K2255" s="339"/>
      <c r="L2255" s="339"/>
      <c r="M2255" s="339"/>
      <c r="N2255" s="338"/>
      <c r="O2255" s="338" t="s">
        <v>417</v>
      </c>
      <c r="P2255" s="338" t="s">
        <v>605</v>
      </c>
    </row>
    <row r="2256" spans="2:16" x14ac:dyDescent="0.25">
      <c r="B2256" s="336" t="s">
        <v>416</v>
      </c>
      <c r="C2256" s="337">
        <v>40084</v>
      </c>
      <c r="D2256" s="338" t="s">
        <v>5174</v>
      </c>
      <c r="E2256" s="338" t="s">
        <v>485</v>
      </c>
      <c r="F2256" s="338"/>
      <c r="G2256" s="338">
        <v>2.2999999999999998</v>
      </c>
      <c r="H2256" s="338" t="s">
        <v>425</v>
      </c>
      <c r="I2256" s="338" t="s">
        <v>411</v>
      </c>
      <c r="J2256" s="339"/>
      <c r="K2256" s="339"/>
      <c r="L2256" s="339" t="s">
        <v>409</v>
      </c>
      <c r="M2256" s="339" t="s">
        <v>409</v>
      </c>
      <c r="N2256" s="338" t="s">
        <v>417</v>
      </c>
      <c r="O2256" s="338" t="s">
        <v>409</v>
      </c>
      <c r="P2256" s="338" t="s">
        <v>417</v>
      </c>
    </row>
    <row r="2257" spans="2:16" x14ac:dyDescent="0.25">
      <c r="B2257" s="336" t="s">
        <v>416</v>
      </c>
      <c r="C2257" s="337">
        <v>40080</v>
      </c>
      <c r="D2257" s="338" t="s">
        <v>5173</v>
      </c>
      <c r="E2257" s="338" t="s">
        <v>538</v>
      </c>
      <c r="F2257" s="338"/>
      <c r="G2257" s="338">
        <v>2.31</v>
      </c>
      <c r="H2257" s="338" t="s">
        <v>425</v>
      </c>
      <c r="I2257" s="338" t="s">
        <v>411</v>
      </c>
      <c r="J2257" s="339"/>
      <c r="K2257" s="339"/>
      <c r="L2257" s="339" t="s">
        <v>409</v>
      </c>
      <c r="M2257" s="339" t="s">
        <v>409</v>
      </c>
      <c r="N2257" s="338" t="s">
        <v>432</v>
      </c>
      <c r="O2257" s="338" t="s">
        <v>409</v>
      </c>
      <c r="P2257" s="338" t="s">
        <v>417</v>
      </c>
    </row>
    <row r="2258" spans="2:16" x14ac:dyDescent="0.25">
      <c r="B2258" s="336" t="s">
        <v>416</v>
      </c>
      <c r="C2258" s="337">
        <v>40080</v>
      </c>
      <c r="D2258" s="338" t="s">
        <v>5172</v>
      </c>
      <c r="E2258" s="338" t="s">
        <v>4787</v>
      </c>
      <c r="F2258" s="338"/>
      <c r="G2258" s="338">
        <v>54.83</v>
      </c>
      <c r="H2258" s="338" t="s">
        <v>425</v>
      </c>
      <c r="I2258" s="338" t="s">
        <v>411</v>
      </c>
      <c r="J2258" s="339"/>
      <c r="K2258" s="339"/>
      <c r="L2258" s="339" t="s">
        <v>409</v>
      </c>
      <c r="M2258" s="339" t="s">
        <v>409</v>
      </c>
      <c r="N2258" s="338" t="s">
        <v>417</v>
      </c>
      <c r="O2258" s="338" t="s">
        <v>409</v>
      </c>
      <c r="P2258" s="338" t="s">
        <v>432</v>
      </c>
    </row>
    <row r="2259" spans="2:16" x14ac:dyDescent="0.25">
      <c r="B2259" s="336" t="s">
        <v>416</v>
      </c>
      <c r="C2259" s="337">
        <v>40080</v>
      </c>
      <c r="D2259" s="338" t="s">
        <v>5171</v>
      </c>
      <c r="E2259" s="338" t="s">
        <v>5150</v>
      </c>
      <c r="F2259" s="338"/>
      <c r="G2259" s="338">
        <v>0.8</v>
      </c>
      <c r="H2259" s="338" t="s">
        <v>425</v>
      </c>
      <c r="I2259" s="338" t="s">
        <v>411</v>
      </c>
      <c r="J2259" s="339"/>
      <c r="K2259" s="339"/>
      <c r="L2259" s="339" t="s">
        <v>409</v>
      </c>
      <c r="M2259" s="339" t="s">
        <v>409</v>
      </c>
      <c r="N2259" s="338"/>
      <c r="O2259" s="338" t="s">
        <v>409</v>
      </c>
      <c r="P2259" s="338" t="s">
        <v>417</v>
      </c>
    </row>
    <row r="2260" spans="2:16" x14ac:dyDescent="0.25">
      <c r="B2260" s="336" t="s">
        <v>416</v>
      </c>
      <c r="C2260" s="337">
        <v>40080</v>
      </c>
      <c r="D2260" s="338" t="s">
        <v>5170</v>
      </c>
      <c r="E2260" s="338" t="s">
        <v>5169</v>
      </c>
      <c r="F2260" s="338" t="s">
        <v>5168</v>
      </c>
      <c r="G2260" s="338" t="s">
        <v>413</v>
      </c>
      <c r="H2260" s="338" t="s">
        <v>425</v>
      </c>
      <c r="I2260" s="338" t="s">
        <v>411</v>
      </c>
      <c r="J2260" s="339"/>
      <c r="K2260" s="339"/>
      <c r="L2260" s="339"/>
      <c r="M2260" s="339"/>
      <c r="N2260" s="338"/>
      <c r="O2260" s="338" t="s">
        <v>417</v>
      </c>
      <c r="P2260" s="338" t="s">
        <v>417</v>
      </c>
    </row>
    <row r="2261" spans="2:16" x14ac:dyDescent="0.25">
      <c r="B2261" s="336" t="s">
        <v>416</v>
      </c>
      <c r="C2261" s="337">
        <v>40080</v>
      </c>
      <c r="D2261" s="338" t="s">
        <v>5167</v>
      </c>
      <c r="E2261" s="338" t="s">
        <v>5166</v>
      </c>
      <c r="F2261" s="338" t="s">
        <v>5165</v>
      </c>
      <c r="G2261" s="338" t="s">
        <v>413</v>
      </c>
      <c r="H2261" s="338" t="s">
        <v>412</v>
      </c>
      <c r="I2261" s="338" t="s">
        <v>411</v>
      </c>
      <c r="J2261" s="339"/>
      <c r="K2261" s="339"/>
      <c r="L2261" s="339"/>
      <c r="M2261" s="339"/>
      <c r="N2261" s="338" t="s">
        <v>487</v>
      </c>
      <c r="O2261" s="338" t="s">
        <v>543</v>
      </c>
      <c r="P2261" s="338" t="s">
        <v>417</v>
      </c>
    </row>
    <row r="2262" spans="2:16" x14ac:dyDescent="0.25">
      <c r="B2262" s="336" t="s">
        <v>416</v>
      </c>
      <c r="C2262" s="337">
        <v>40080</v>
      </c>
      <c r="D2262" s="338" t="s">
        <v>5164</v>
      </c>
      <c r="E2262" s="338" t="s">
        <v>1322</v>
      </c>
      <c r="F2262" s="338"/>
      <c r="G2262" s="338" t="s">
        <v>413</v>
      </c>
      <c r="H2262" s="338" t="s">
        <v>412</v>
      </c>
      <c r="I2262" s="338" t="s">
        <v>411</v>
      </c>
      <c r="J2262" s="339"/>
      <c r="K2262" s="339"/>
      <c r="L2262" s="339" t="s">
        <v>409</v>
      </c>
      <c r="M2262" s="339" t="s">
        <v>409</v>
      </c>
      <c r="N2262" s="338" t="s">
        <v>417</v>
      </c>
      <c r="O2262" s="338" t="s">
        <v>409</v>
      </c>
      <c r="P2262" s="338" t="s">
        <v>417</v>
      </c>
    </row>
    <row r="2263" spans="2:16" x14ac:dyDescent="0.25">
      <c r="B2263" s="336" t="s">
        <v>416</v>
      </c>
      <c r="C2263" s="337">
        <v>40079</v>
      </c>
      <c r="D2263" s="338" t="s">
        <v>5163</v>
      </c>
      <c r="E2263" s="338" t="s">
        <v>5162</v>
      </c>
      <c r="F2263" s="338" t="s">
        <v>5161</v>
      </c>
      <c r="G2263" s="338" t="s">
        <v>413</v>
      </c>
      <c r="H2263" s="338" t="s">
        <v>425</v>
      </c>
      <c r="I2263" s="338" t="s">
        <v>411</v>
      </c>
      <c r="J2263" s="339"/>
      <c r="K2263" s="339"/>
      <c r="L2263" s="339">
        <v>0.77658799999999995</v>
      </c>
      <c r="M2263" s="339"/>
      <c r="N2263" s="338"/>
      <c r="O2263" s="338" t="s">
        <v>605</v>
      </c>
      <c r="P2263" s="338" t="s">
        <v>417</v>
      </c>
    </row>
    <row r="2264" spans="2:16" x14ac:dyDescent="0.25">
      <c r="B2264" s="336" t="s">
        <v>416</v>
      </c>
      <c r="C2264" s="337">
        <v>40079</v>
      </c>
      <c r="D2264" s="338" t="s">
        <v>5160</v>
      </c>
      <c r="E2264" s="338" t="s">
        <v>1846</v>
      </c>
      <c r="F2264" s="338"/>
      <c r="G2264" s="338" t="s">
        <v>413</v>
      </c>
      <c r="H2264" s="338" t="s">
        <v>412</v>
      </c>
      <c r="I2264" s="338" t="s">
        <v>411</v>
      </c>
      <c r="J2264" s="339"/>
      <c r="K2264" s="339"/>
      <c r="L2264" s="339" t="s">
        <v>409</v>
      </c>
      <c r="M2264" s="339" t="s">
        <v>409</v>
      </c>
      <c r="N2264" s="338" t="s">
        <v>417</v>
      </c>
      <c r="O2264" s="338" t="s">
        <v>409</v>
      </c>
      <c r="P2264" s="338" t="s">
        <v>417</v>
      </c>
    </row>
    <row r="2265" spans="2:16" x14ac:dyDescent="0.25">
      <c r="B2265" s="336" t="s">
        <v>416</v>
      </c>
      <c r="C2265" s="337">
        <v>40079</v>
      </c>
      <c r="D2265" s="338" t="s">
        <v>5159</v>
      </c>
      <c r="E2265" s="338" t="s">
        <v>5158</v>
      </c>
      <c r="F2265" s="338" t="s">
        <v>4447</v>
      </c>
      <c r="G2265" s="338">
        <v>200</v>
      </c>
      <c r="H2265" s="338" t="s">
        <v>425</v>
      </c>
      <c r="I2265" s="338" t="s">
        <v>411</v>
      </c>
      <c r="J2265" s="339"/>
      <c r="K2265" s="339"/>
      <c r="L2265" s="339">
        <v>8.2868999999999993</v>
      </c>
      <c r="M2265" s="339">
        <v>28.127500000000001</v>
      </c>
      <c r="N2265" s="338" t="s">
        <v>417</v>
      </c>
      <c r="O2265" s="338" t="s">
        <v>443</v>
      </c>
      <c r="P2265" s="338" t="s">
        <v>443</v>
      </c>
    </row>
    <row r="2266" spans="2:16" x14ac:dyDescent="0.25">
      <c r="B2266" s="336" t="s">
        <v>459</v>
      </c>
      <c r="C2266" s="337">
        <v>40078</v>
      </c>
      <c r="D2266" s="338" t="s">
        <v>5157</v>
      </c>
      <c r="E2266" s="338" t="s">
        <v>5156</v>
      </c>
      <c r="F2266" s="338"/>
      <c r="G2266" s="338" t="s">
        <v>413</v>
      </c>
      <c r="H2266" s="338" t="s">
        <v>425</v>
      </c>
      <c r="I2266" s="338" t="s">
        <v>411</v>
      </c>
      <c r="J2266" s="339"/>
      <c r="K2266" s="339"/>
      <c r="L2266" s="339" t="s">
        <v>409</v>
      </c>
      <c r="M2266" s="339" t="s">
        <v>409</v>
      </c>
      <c r="N2266" s="338" t="s">
        <v>417</v>
      </c>
      <c r="O2266" s="338" t="s">
        <v>409</v>
      </c>
      <c r="P2266" s="338"/>
    </row>
    <row r="2267" spans="2:16" x14ac:dyDescent="0.25">
      <c r="B2267" s="336" t="s">
        <v>416</v>
      </c>
      <c r="C2267" s="337">
        <v>40077</v>
      </c>
      <c r="D2267" s="338" t="s">
        <v>5155</v>
      </c>
      <c r="E2267" s="338" t="s">
        <v>5154</v>
      </c>
      <c r="F2267" s="338"/>
      <c r="G2267" s="338">
        <v>74.75</v>
      </c>
      <c r="H2267" s="338" t="s">
        <v>336</v>
      </c>
      <c r="I2267" s="338" t="s">
        <v>411</v>
      </c>
      <c r="J2267" s="339">
        <v>0.57733599999999996</v>
      </c>
      <c r="K2267" s="339">
        <v>7.4285699999999997</v>
      </c>
      <c r="L2267" s="339" t="s">
        <v>409</v>
      </c>
      <c r="M2267" s="339" t="s">
        <v>409</v>
      </c>
      <c r="N2267" s="338" t="s">
        <v>417</v>
      </c>
      <c r="O2267" s="338" t="s">
        <v>409</v>
      </c>
      <c r="P2267" s="338" t="s">
        <v>410</v>
      </c>
    </row>
    <row r="2268" spans="2:16" x14ac:dyDescent="0.25">
      <c r="B2268" s="336" t="s">
        <v>416</v>
      </c>
      <c r="C2268" s="337">
        <v>40073</v>
      </c>
      <c r="D2268" s="338" t="s">
        <v>5153</v>
      </c>
      <c r="E2268" s="338" t="s">
        <v>5152</v>
      </c>
      <c r="F2268" s="338"/>
      <c r="G2268" s="338" t="s">
        <v>413</v>
      </c>
      <c r="H2268" s="338" t="s">
        <v>412</v>
      </c>
      <c r="I2268" s="338" t="s">
        <v>411</v>
      </c>
      <c r="J2268" s="339"/>
      <c r="K2268" s="339"/>
      <c r="L2268" s="339" t="s">
        <v>409</v>
      </c>
      <c r="M2268" s="339" t="s">
        <v>409</v>
      </c>
      <c r="N2268" s="338" t="s">
        <v>417</v>
      </c>
      <c r="O2268" s="338" t="s">
        <v>409</v>
      </c>
      <c r="P2268" s="338" t="s">
        <v>487</v>
      </c>
    </row>
    <row r="2269" spans="2:16" x14ac:dyDescent="0.25">
      <c r="B2269" s="336" t="s">
        <v>416</v>
      </c>
      <c r="C2269" s="337">
        <v>40072</v>
      </c>
      <c r="D2269" s="338" t="s">
        <v>552</v>
      </c>
      <c r="E2269" s="338" t="s">
        <v>4881</v>
      </c>
      <c r="F2269" s="338" t="s">
        <v>3570</v>
      </c>
      <c r="G2269" s="338" t="s">
        <v>413</v>
      </c>
      <c r="H2269" s="338" t="s">
        <v>425</v>
      </c>
      <c r="I2269" s="338" t="s">
        <v>411</v>
      </c>
      <c r="J2269" s="339"/>
      <c r="K2269" s="339"/>
      <c r="L2269" s="339"/>
      <c r="M2269" s="339"/>
      <c r="N2269" s="338"/>
      <c r="O2269" s="338" t="s">
        <v>417</v>
      </c>
      <c r="P2269" s="338" t="s">
        <v>432</v>
      </c>
    </row>
    <row r="2270" spans="2:16" x14ac:dyDescent="0.25">
      <c r="B2270" s="336" t="s">
        <v>416</v>
      </c>
      <c r="C2270" s="337">
        <v>40071</v>
      </c>
      <c r="D2270" s="338" t="s">
        <v>5151</v>
      </c>
      <c r="E2270" s="338" t="s">
        <v>5150</v>
      </c>
      <c r="F2270" s="338"/>
      <c r="G2270" s="338" t="s">
        <v>413</v>
      </c>
      <c r="H2270" s="338" t="s">
        <v>412</v>
      </c>
      <c r="I2270" s="338" t="s">
        <v>411</v>
      </c>
      <c r="J2270" s="339"/>
      <c r="K2270" s="339"/>
      <c r="L2270" s="339" t="s">
        <v>409</v>
      </c>
      <c r="M2270" s="339" t="s">
        <v>409</v>
      </c>
      <c r="N2270" s="338" t="s">
        <v>410</v>
      </c>
      <c r="O2270" s="338" t="s">
        <v>409</v>
      </c>
      <c r="P2270" s="338" t="s">
        <v>417</v>
      </c>
    </row>
    <row r="2271" spans="2:16" x14ac:dyDescent="0.25">
      <c r="B2271" s="336" t="s">
        <v>416</v>
      </c>
      <c r="C2271" s="337">
        <v>40071</v>
      </c>
      <c r="D2271" s="338" t="s">
        <v>5149</v>
      </c>
      <c r="E2271" s="338" t="s">
        <v>5148</v>
      </c>
      <c r="F2271" s="338" t="s">
        <v>1712</v>
      </c>
      <c r="G2271" s="338" t="s">
        <v>413</v>
      </c>
      <c r="H2271" s="338" t="s">
        <v>425</v>
      </c>
      <c r="I2271" s="338" t="s">
        <v>411</v>
      </c>
      <c r="J2271" s="339"/>
      <c r="K2271" s="339"/>
      <c r="L2271" s="339">
        <v>0.69886999999999999</v>
      </c>
      <c r="M2271" s="339"/>
      <c r="N2271" s="338"/>
      <c r="O2271" s="338" t="s">
        <v>417</v>
      </c>
      <c r="P2271" s="338" t="s">
        <v>443</v>
      </c>
    </row>
    <row r="2272" spans="2:16" x14ac:dyDescent="0.25">
      <c r="B2272" s="336" t="s">
        <v>416</v>
      </c>
      <c r="C2272" s="337">
        <v>40071</v>
      </c>
      <c r="D2272" s="338" t="s">
        <v>5147</v>
      </c>
      <c r="E2272" s="338" t="s">
        <v>5146</v>
      </c>
      <c r="F2272" s="338" t="s">
        <v>1712</v>
      </c>
      <c r="G2272" s="338">
        <v>42</v>
      </c>
      <c r="H2272" s="338" t="s">
        <v>425</v>
      </c>
      <c r="I2272" s="338" t="s">
        <v>411</v>
      </c>
      <c r="J2272" s="339"/>
      <c r="K2272" s="339"/>
      <c r="L2272" s="339">
        <v>0.69886999999999999</v>
      </c>
      <c r="M2272" s="339"/>
      <c r="N2272" s="338"/>
      <c r="O2272" s="338" t="s">
        <v>417</v>
      </c>
      <c r="P2272" s="338" t="s">
        <v>417</v>
      </c>
    </row>
    <row r="2273" spans="2:16" x14ac:dyDescent="0.25">
      <c r="B2273" s="336" t="s">
        <v>416</v>
      </c>
      <c r="C2273" s="337">
        <v>40070</v>
      </c>
      <c r="D2273" s="338" t="s">
        <v>5145</v>
      </c>
      <c r="E2273" s="338" t="s">
        <v>5144</v>
      </c>
      <c r="F2273" s="338"/>
      <c r="G2273" s="338" t="s">
        <v>413</v>
      </c>
      <c r="H2273" s="338" t="s">
        <v>412</v>
      </c>
      <c r="I2273" s="338" t="s">
        <v>411</v>
      </c>
      <c r="J2273" s="339"/>
      <c r="K2273" s="339"/>
      <c r="L2273" s="339" t="s">
        <v>409</v>
      </c>
      <c r="M2273" s="339" t="s">
        <v>409</v>
      </c>
      <c r="N2273" s="338" t="s">
        <v>417</v>
      </c>
      <c r="O2273" s="338" t="s">
        <v>409</v>
      </c>
      <c r="P2273" s="338" t="s">
        <v>417</v>
      </c>
    </row>
    <row r="2274" spans="2:16" x14ac:dyDescent="0.25">
      <c r="B2274" s="336" t="s">
        <v>459</v>
      </c>
      <c r="C2274" s="337">
        <v>40066</v>
      </c>
      <c r="D2274" s="338" t="s">
        <v>5143</v>
      </c>
      <c r="E2274" s="338" t="s">
        <v>419</v>
      </c>
      <c r="F2274" s="338" t="s">
        <v>3313</v>
      </c>
      <c r="G2274" s="338" t="s">
        <v>413</v>
      </c>
      <c r="H2274" s="338" t="s">
        <v>412</v>
      </c>
      <c r="I2274" s="338" t="s">
        <v>411</v>
      </c>
      <c r="J2274" s="339"/>
      <c r="K2274" s="339"/>
      <c r="L2274" s="339"/>
      <c r="M2274" s="339"/>
      <c r="N2274" s="338" t="s">
        <v>417</v>
      </c>
      <c r="O2274" s="338" t="s">
        <v>443</v>
      </c>
      <c r="P2274" s="338" t="s">
        <v>417</v>
      </c>
    </row>
    <row r="2275" spans="2:16" x14ac:dyDescent="0.25">
      <c r="B2275" s="336" t="s">
        <v>416</v>
      </c>
      <c r="C2275" s="337">
        <v>40065</v>
      </c>
      <c r="D2275" s="338" t="s">
        <v>5142</v>
      </c>
      <c r="E2275" s="338" t="s">
        <v>5141</v>
      </c>
      <c r="F2275" s="338" t="s">
        <v>5140</v>
      </c>
      <c r="G2275" s="338" t="s">
        <v>413</v>
      </c>
      <c r="H2275" s="338" t="s">
        <v>425</v>
      </c>
      <c r="I2275" s="338" t="s">
        <v>411</v>
      </c>
      <c r="J2275" s="339"/>
      <c r="K2275" s="339"/>
      <c r="L2275" s="339"/>
      <c r="M2275" s="339"/>
      <c r="N2275" s="338"/>
      <c r="O2275" s="338"/>
      <c r="P2275" s="338" t="s">
        <v>410</v>
      </c>
    </row>
    <row r="2276" spans="2:16" x14ac:dyDescent="0.25">
      <c r="B2276" s="336" t="s">
        <v>416</v>
      </c>
      <c r="C2276" s="337">
        <v>40064</v>
      </c>
      <c r="D2276" s="338" t="s">
        <v>956</v>
      </c>
      <c r="E2276" s="338" t="s">
        <v>5139</v>
      </c>
      <c r="F2276" s="338" t="s">
        <v>4847</v>
      </c>
      <c r="G2276" s="338">
        <v>1.5</v>
      </c>
      <c r="H2276" s="338" t="s">
        <v>425</v>
      </c>
      <c r="I2276" s="338" t="s">
        <v>411</v>
      </c>
      <c r="J2276" s="339"/>
      <c r="K2276" s="339"/>
      <c r="L2276" s="339"/>
      <c r="M2276" s="339"/>
      <c r="N2276" s="338"/>
      <c r="O2276" s="338" t="s">
        <v>417</v>
      </c>
      <c r="P2276" s="338" t="s">
        <v>417</v>
      </c>
    </row>
    <row r="2277" spans="2:16" x14ac:dyDescent="0.25">
      <c r="B2277" s="336" t="s">
        <v>416</v>
      </c>
      <c r="C2277" s="337">
        <v>40064</v>
      </c>
      <c r="D2277" s="338" t="s">
        <v>5138</v>
      </c>
      <c r="E2277" s="338" t="s">
        <v>5137</v>
      </c>
      <c r="F2277" s="338" t="s">
        <v>5136</v>
      </c>
      <c r="G2277" s="338" t="s">
        <v>413</v>
      </c>
      <c r="H2277" s="338" t="s">
        <v>425</v>
      </c>
      <c r="I2277" s="338" t="s">
        <v>411</v>
      </c>
      <c r="J2277" s="339"/>
      <c r="K2277" s="339"/>
      <c r="L2277" s="339"/>
      <c r="M2277" s="339"/>
      <c r="N2277" s="338"/>
      <c r="O2277" s="338" t="s">
        <v>417</v>
      </c>
      <c r="P2277" s="338" t="s">
        <v>432</v>
      </c>
    </row>
    <row r="2278" spans="2:16" x14ac:dyDescent="0.25">
      <c r="B2278" s="336" t="s">
        <v>416</v>
      </c>
      <c r="C2278" s="337">
        <v>40064</v>
      </c>
      <c r="D2278" s="338" t="s">
        <v>956</v>
      </c>
      <c r="E2278" s="338" t="s">
        <v>514</v>
      </c>
      <c r="F2278" s="338" t="s">
        <v>4847</v>
      </c>
      <c r="G2278" s="338">
        <v>0.32</v>
      </c>
      <c r="H2278" s="338" t="s">
        <v>425</v>
      </c>
      <c r="I2278" s="338" t="s">
        <v>411</v>
      </c>
      <c r="J2278" s="339"/>
      <c r="K2278" s="339"/>
      <c r="L2278" s="339"/>
      <c r="M2278" s="339"/>
      <c r="N2278" s="338"/>
      <c r="O2278" s="338" t="s">
        <v>417</v>
      </c>
      <c r="P2278" s="338"/>
    </row>
    <row r="2279" spans="2:16" x14ac:dyDescent="0.25">
      <c r="B2279" s="336" t="s">
        <v>416</v>
      </c>
      <c r="C2279" s="337">
        <v>40060</v>
      </c>
      <c r="D2279" s="338" t="s">
        <v>5135</v>
      </c>
      <c r="E2279" s="338" t="s">
        <v>5134</v>
      </c>
      <c r="F2279" s="338"/>
      <c r="G2279" s="338" t="s">
        <v>413</v>
      </c>
      <c r="H2279" s="338" t="s">
        <v>425</v>
      </c>
      <c r="I2279" s="338" t="s">
        <v>411</v>
      </c>
      <c r="J2279" s="339"/>
      <c r="K2279" s="339"/>
      <c r="L2279" s="339" t="s">
        <v>409</v>
      </c>
      <c r="M2279" s="339" t="s">
        <v>409</v>
      </c>
      <c r="N2279" s="338" t="s">
        <v>417</v>
      </c>
      <c r="O2279" s="338" t="s">
        <v>409</v>
      </c>
      <c r="P2279" s="338" t="s">
        <v>443</v>
      </c>
    </row>
    <row r="2280" spans="2:16" x14ac:dyDescent="0.25">
      <c r="B2280" s="336" t="s">
        <v>416</v>
      </c>
      <c r="C2280" s="337">
        <v>40059</v>
      </c>
      <c r="D2280" s="338" t="s">
        <v>5133</v>
      </c>
      <c r="E2280" s="338" t="s">
        <v>5132</v>
      </c>
      <c r="F2280" s="338"/>
      <c r="G2280" s="338">
        <v>257.25</v>
      </c>
      <c r="H2280" s="338" t="s">
        <v>425</v>
      </c>
      <c r="I2280" s="338" t="s">
        <v>411</v>
      </c>
      <c r="J2280" s="339"/>
      <c r="K2280" s="339"/>
      <c r="L2280" s="339" t="s">
        <v>409</v>
      </c>
      <c r="M2280" s="339" t="s">
        <v>409</v>
      </c>
      <c r="N2280" s="338" t="s">
        <v>410</v>
      </c>
      <c r="O2280" s="338" t="s">
        <v>409</v>
      </c>
      <c r="P2280" s="338" t="s">
        <v>410</v>
      </c>
    </row>
    <row r="2281" spans="2:16" x14ac:dyDescent="0.25">
      <c r="B2281" s="336" t="s">
        <v>416</v>
      </c>
      <c r="C2281" s="337">
        <v>40059</v>
      </c>
      <c r="D2281" s="338" t="s">
        <v>1492</v>
      </c>
      <c r="E2281" s="338" t="s">
        <v>472</v>
      </c>
      <c r="F2281" s="338"/>
      <c r="G2281" s="338" t="s">
        <v>413</v>
      </c>
      <c r="H2281" s="338" t="s">
        <v>412</v>
      </c>
      <c r="I2281" s="338" t="s">
        <v>411</v>
      </c>
      <c r="J2281" s="339"/>
      <c r="K2281" s="339"/>
      <c r="L2281" s="339" t="s">
        <v>409</v>
      </c>
      <c r="M2281" s="339" t="s">
        <v>409</v>
      </c>
      <c r="N2281" s="338" t="s">
        <v>417</v>
      </c>
      <c r="O2281" s="338" t="s">
        <v>409</v>
      </c>
      <c r="P2281" s="338" t="s">
        <v>417</v>
      </c>
    </row>
    <row r="2282" spans="2:16" x14ac:dyDescent="0.25">
      <c r="B2282" s="336" t="s">
        <v>416</v>
      </c>
      <c r="C2282" s="337">
        <v>40058</v>
      </c>
      <c r="D2282" s="338" t="s">
        <v>5131</v>
      </c>
      <c r="E2282" s="338" t="s">
        <v>1096</v>
      </c>
      <c r="F2282" s="338" t="s">
        <v>4992</v>
      </c>
      <c r="G2282" s="338">
        <v>82.5</v>
      </c>
      <c r="H2282" s="338" t="s">
        <v>425</v>
      </c>
      <c r="I2282" s="338" t="s">
        <v>411</v>
      </c>
      <c r="J2282" s="339"/>
      <c r="K2282" s="339"/>
      <c r="L2282" s="339">
        <v>0.13784299999999999</v>
      </c>
      <c r="M2282" s="339">
        <v>4.17075</v>
      </c>
      <c r="N2282" s="338"/>
      <c r="O2282" s="338" t="s">
        <v>408</v>
      </c>
      <c r="P2282" s="338" t="s">
        <v>417</v>
      </c>
    </row>
    <row r="2283" spans="2:16" x14ac:dyDescent="0.25">
      <c r="B2283" s="336" t="s">
        <v>1441</v>
      </c>
      <c r="C2283" s="337">
        <v>40058</v>
      </c>
      <c r="D2283" s="338" t="s">
        <v>5130</v>
      </c>
      <c r="E2283" s="338" t="s">
        <v>5129</v>
      </c>
      <c r="F2283" s="338"/>
      <c r="G2283" s="338" t="s">
        <v>413</v>
      </c>
      <c r="H2283" s="338" t="s">
        <v>412</v>
      </c>
      <c r="I2283" s="338" t="s">
        <v>411</v>
      </c>
      <c r="J2283" s="339"/>
      <c r="K2283" s="339"/>
      <c r="L2283" s="339" t="s">
        <v>409</v>
      </c>
      <c r="M2283" s="339" t="s">
        <v>409</v>
      </c>
      <c r="N2283" s="338" t="s">
        <v>417</v>
      </c>
      <c r="O2283" s="338" t="s">
        <v>409</v>
      </c>
      <c r="P2283" s="338" t="s">
        <v>605</v>
      </c>
    </row>
    <row r="2284" spans="2:16" x14ac:dyDescent="0.25">
      <c r="B2284" s="336" t="s">
        <v>416</v>
      </c>
      <c r="C2284" s="337">
        <v>40058</v>
      </c>
      <c r="D2284" s="338" t="s">
        <v>5128</v>
      </c>
      <c r="E2284" s="338" t="s">
        <v>986</v>
      </c>
      <c r="F2284" s="338"/>
      <c r="G2284" s="338" t="s">
        <v>413</v>
      </c>
      <c r="H2284" s="338" t="s">
        <v>412</v>
      </c>
      <c r="I2284" s="338" t="s">
        <v>411</v>
      </c>
      <c r="J2284" s="339"/>
      <c r="K2284" s="339"/>
      <c r="L2284" s="339" t="s">
        <v>409</v>
      </c>
      <c r="M2284" s="339" t="s">
        <v>409</v>
      </c>
      <c r="N2284" s="338" t="s">
        <v>410</v>
      </c>
      <c r="O2284" s="338" t="s">
        <v>409</v>
      </c>
      <c r="P2284" s="338" t="s">
        <v>417</v>
      </c>
    </row>
    <row r="2285" spans="2:16" x14ac:dyDescent="0.25">
      <c r="B2285" s="336" t="s">
        <v>459</v>
      </c>
      <c r="C2285" s="337">
        <v>40058</v>
      </c>
      <c r="D2285" s="338" t="s">
        <v>5127</v>
      </c>
      <c r="E2285" s="338" t="s">
        <v>4158</v>
      </c>
      <c r="F2285" s="338"/>
      <c r="G2285" s="338">
        <v>6</v>
      </c>
      <c r="H2285" s="338" t="s">
        <v>425</v>
      </c>
      <c r="I2285" s="338" t="s">
        <v>411</v>
      </c>
      <c r="J2285" s="339"/>
      <c r="K2285" s="339"/>
      <c r="L2285" s="339" t="s">
        <v>409</v>
      </c>
      <c r="M2285" s="339" t="s">
        <v>409</v>
      </c>
      <c r="N2285" s="338" t="s">
        <v>417</v>
      </c>
      <c r="O2285" s="338" t="s">
        <v>409</v>
      </c>
      <c r="P2285" s="338" t="s">
        <v>443</v>
      </c>
    </row>
    <row r="2286" spans="2:16" x14ac:dyDescent="0.25">
      <c r="B2286" s="336" t="s">
        <v>459</v>
      </c>
      <c r="C2286" s="337">
        <v>40056</v>
      </c>
      <c r="D2286" s="338" t="s">
        <v>647</v>
      </c>
      <c r="E2286" s="338" t="s">
        <v>5126</v>
      </c>
      <c r="F2286" s="338"/>
      <c r="G2286" s="338">
        <v>44</v>
      </c>
      <c r="H2286" s="338" t="s">
        <v>425</v>
      </c>
      <c r="I2286" s="338" t="s">
        <v>411</v>
      </c>
      <c r="J2286" s="339">
        <v>2.2956500000000002</v>
      </c>
      <c r="K2286" s="339"/>
      <c r="L2286" s="339" t="s">
        <v>409</v>
      </c>
      <c r="M2286" s="339" t="s">
        <v>409</v>
      </c>
      <c r="N2286" s="338" t="s">
        <v>417</v>
      </c>
      <c r="O2286" s="338" t="s">
        <v>409</v>
      </c>
      <c r="P2286" s="338" t="s">
        <v>443</v>
      </c>
    </row>
    <row r="2287" spans="2:16" x14ac:dyDescent="0.25">
      <c r="B2287" s="336" t="s">
        <v>416</v>
      </c>
      <c r="C2287" s="337">
        <v>40053</v>
      </c>
      <c r="D2287" s="338" t="s">
        <v>5125</v>
      </c>
      <c r="E2287" s="338" t="s">
        <v>1753</v>
      </c>
      <c r="F2287" s="338"/>
      <c r="G2287" s="338" t="s">
        <v>413</v>
      </c>
      <c r="H2287" s="338" t="s">
        <v>336</v>
      </c>
      <c r="I2287" s="338" t="s">
        <v>411</v>
      </c>
      <c r="J2287" s="339"/>
      <c r="K2287" s="339"/>
      <c r="L2287" s="339" t="s">
        <v>409</v>
      </c>
      <c r="M2287" s="339" t="s">
        <v>409</v>
      </c>
      <c r="N2287" s="338" t="s">
        <v>410</v>
      </c>
      <c r="O2287" s="338" t="s">
        <v>409</v>
      </c>
      <c r="P2287" s="338" t="s">
        <v>417</v>
      </c>
    </row>
    <row r="2288" spans="2:16" x14ac:dyDescent="0.25">
      <c r="B2288" s="336" t="s">
        <v>416</v>
      </c>
      <c r="C2288" s="337">
        <v>40050</v>
      </c>
      <c r="D2288" s="338" t="s">
        <v>5124</v>
      </c>
      <c r="E2288" s="338" t="s">
        <v>1442</v>
      </c>
      <c r="F2288" s="338"/>
      <c r="G2288" s="338" t="s">
        <v>413</v>
      </c>
      <c r="H2288" s="338" t="s">
        <v>425</v>
      </c>
      <c r="I2288" s="338" t="s">
        <v>411</v>
      </c>
      <c r="J2288" s="339"/>
      <c r="K2288" s="339"/>
      <c r="L2288" s="339" t="s">
        <v>409</v>
      </c>
      <c r="M2288" s="339" t="s">
        <v>409</v>
      </c>
      <c r="N2288" s="338"/>
      <c r="O2288" s="338" t="s">
        <v>409</v>
      </c>
      <c r="P2288" s="338" t="s">
        <v>417</v>
      </c>
    </row>
    <row r="2289" spans="2:16" x14ac:dyDescent="0.25">
      <c r="B2289" s="336" t="s">
        <v>416</v>
      </c>
      <c r="C2289" s="337">
        <v>40049</v>
      </c>
      <c r="D2289" s="338" t="s">
        <v>2380</v>
      </c>
      <c r="E2289" s="338" t="s">
        <v>1197</v>
      </c>
      <c r="F2289" s="338"/>
      <c r="G2289" s="338">
        <v>304.45999999999998</v>
      </c>
      <c r="H2289" s="338" t="s">
        <v>425</v>
      </c>
      <c r="I2289" s="338" t="s">
        <v>411</v>
      </c>
      <c r="J2289" s="339">
        <v>0.24058099999999999</v>
      </c>
      <c r="K2289" s="339">
        <v>4.5804200000000002</v>
      </c>
      <c r="L2289" s="339" t="s">
        <v>409</v>
      </c>
      <c r="M2289" s="339" t="s">
        <v>409</v>
      </c>
      <c r="N2289" s="338" t="s">
        <v>417</v>
      </c>
      <c r="O2289" s="338" t="s">
        <v>409</v>
      </c>
      <c r="P2289" s="338" t="s">
        <v>443</v>
      </c>
    </row>
    <row r="2290" spans="2:16" x14ac:dyDescent="0.25">
      <c r="B2290" s="336" t="s">
        <v>416</v>
      </c>
      <c r="C2290" s="337">
        <v>40049</v>
      </c>
      <c r="D2290" s="338" t="s">
        <v>945</v>
      </c>
      <c r="E2290" s="338" t="s">
        <v>5123</v>
      </c>
      <c r="F2290" s="338" t="s">
        <v>4641</v>
      </c>
      <c r="G2290" s="338">
        <v>12.3</v>
      </c>
      <c r="H2290" s="338" t="s">
        <v>425</v>
      </c>
      <c r="I2290" s="338" t="s">
        <v>411</v>
      </c>
      <c r="J2290" s="339"/>
      <c r="K2290" s="339"/>
      <c r="L2290" s="339">
        <v>5.6352500000000001</v>
      </c>
      <c r="M2290" s="339"/>
      <c r="N2290" s="338"/>
      <c r="O2290" s="338" t="s">
        <v>408</v>
      </c>
      <c r="P2290" s="338" t="s">
        <v>417</v>
      </c>
    </row>
    <row r="2291" spans="2:16" x14ac:dyDescent="0.25">
      <c r="B2291" s="336" t="s">
        <v>416</v>
      </c>
      <c r="C2291" s="337">
        <v>40049</v>
      </c>
      <c r="D2291" s="338" t="s">
        <v>511</v>
      </c>
      <c r="E2291" s="338" t="s">
        <v>5122</v>
      </c>
      <c r="F2291" s="338"/>
      <c r="G2291" s="338">
        <v>9.26</v>
      </c>
      <c r="H2291" s="338" t="s">
        <v>425</v>
      </c>
      <c r="I2291" s="338" t="s">
        <v>411</v>
      </c>
      <c r="J2291" s="339">
        <v>0.71398700000000004</v>
      </c>
      <c r="K2291" s="339">
        <v>4.2799100000000001</v>
      </c>
      <c r="L2291" s="339" t="s">
        <v>409</v>
      </c>
      <c r="M2291" s="339" t="s">
        <v>409</v>
      </c>
      <c r="N2291" s="338" t="s">
        <v>417</v>
      </c>
      <c r="O2291" s="338" t="s">
        <v>409</v>
      </c>
      <c r="P2291" s="338" t="s">
        <v>543</v>
      </c>
    </row>
    <row r="2292" spans="2:16" x14ac:dyDescent="0.25">
      <c r="B2292" s="336" t="s">
        <v>416</v>
      </c>
      <c r="C2292" s="337">
        <v>40049</v>
      </c>
      <c r="D2292" s="338" t="s">
        <v>5121</v>
      </c>
      <c r="E2292" s="338" t="s">
        <v>5120</v>
      </c>
      <c r="F2292" s="338" t="s">
        <v>889</v>
      </c>
      <c r="G2292" s="338">
        <v>3100</v>
      </c>
      <c r="H2292" s="338" t="s">
        <v>425</v>
      </c>
      <c r="I2292" s="338" t="s">
        <v>411</v>
      </c>
      <c r="J2292" s="339"/>
      <c r="K2292" s="339"/>
      <c r="L2292" s="339">
        <v>2.9470299999999998</v>
      </c>
      <c r="M2292" s="339">
        <v>13.790100000000001</v>
      </c>
      <c r="N2292" s="338"/>
      <c r="O2292" s="338" t="s">
        <v>410</v>
      </c>
      <c r="P2292" s="338" t="s">
        <v>410</v>
      </c>
    </row>
    <row r="2293" spans="2:16" x14ac:dyDescent="0.25">
      <c r="B2293" s="336" t="s">
        <v>416</v>
      </c>
      <c r="C2293" s="337">
        <v>40049</v>
      </c>
      <c r="D2293" s="338" t="s">
        <v>956</v>
      </c>
      <c r="E2293" s="338" t="s">
        <v>4097</v>
      </c>
      <c r="F2293" s="338" t="s">
        <v>5119</v>
      </c>
      <c r="G2293" s="338">
        <v>3.6</v>
      </c>
      <c r="H2293" s="338" t="s">
        <v>425</v>
      </c>
      <c r="I2293" s="338" t="s">
        <v>411</v>
      </c>
      <c r="J2293" s="339"/>
      <c r="K2293" s="339"/>
      <c r="L2293" s="339">
        <v>0.37267800000000001</v>
      </c>
      <c r="M2293" s="339">
        <v>14.304500000000001</v>
      </c>
      <c r="N2293" s="338"/>
      <c r="O2293" s="338" t="s">
        <v>410</v>
      </c>
      <c r="P2293" s="338" t="s">
        <v>417</v>
      </c>
    </row>
    <row r="2294" spans="2:16" x14ac:dyDescent="0.25">
      <c r="B2294" s="336" t="s">
        <v>416</v>
      </c>
      <c r="C2294" s="337">
        <v>40046</v>
      </c>
      <c r="D2294" s="338" t="s">
        <v>5118</v>
      </c>
      <c r="E2294" s="338" t="s">
        <v>939</v>
      </c>
      <c r="F2294" s="338" t="s">
        <v>5117</v>
      </c>
      <c r="G2294" s="338">
        <v>845</v>
      </c>
      <c r="H2294" s="338" t="s">
        <v>425</v>
      </c>
      <c r="I2294" s="338" t="s">
        <v>411</v>
      </c>
      <c r="J2294" s="339"/>
      <c r="K2294" s="339"/>
      <c r="L2294" s="339"/>
      <c r="M2294" s="339"/>
      <c r="N2294" s="338"/>
      <c r="O2294" s="338" t="s">
        <v>432</v>
      </c>
      <c r="P2294" s="338"/>
    </row>
    <row r="2295" spans="2:16" x14ac:dyDescent="0.25">
      <c r="B2295" s="336" t="s">
        <v>416</v>
      </c>
      <c r="C2295" s="337">
        <v>40043</v>
      </c>
      <c r="D2295" s="338" t="s">
        <v>5116</v>
      </c>
      <c r="E2295" s="338" t="s">
        <v>2415</v>
      </c>
      <c r="F2295" s="338"/>
      <c r="G2295" s="338" t="s">
        <v>413</v>
      </c>
      <c r="H2295" s="338" t="s">
        <v>412</v>
      </c>
      <c r="I2295" s="338" t="s">
        <v>411</v>
      </c>
      <c r="J2295" s="339"/>
      <c r="K2295" s="339"/>
      <c r="L2295" s="339" t="s">
        <v>409</v>
      </c>
      <c r="M2295" s="339" t="s">
        <v>409</v>
      </c>
      <c r="N2295" s="338" t="s">
        <v>417</v>
      </c>
      <c r="O2295" s="338" t="s">
        <v>409</v>
      </c>
      <c r="P2295" s="338" t="s">
        <v>543</v>
      </c>
    </row>
    <row r="2296" spans="2:16" x14ac:dyDescent="0.25">
      <c r="B2296" s="336" t="s">
        <v>416</v>
      </c>
      <c r="C2296" s="337">
        <v>40043</v>
      </c>
      <c r="D2296" s="338" t="s">
        <v>5115</v>
      </c>
      <c r="E2296" s="338" t="s">
        <v>2683</v>
      </c>
      <c r="F2296" s="338"/>
      <c r="G2296" s="338" t="s">
        <v>413</v>
      </c>
      <c r="H2296" s="338" t="s">
        <v>412</v>
      </c>
      <c r="I2296" s="338" t="s">
        <v>411</v>
      </c>
      <c r="J2296" s="339"/>
      <c r="K2296" s="339"/>
      <c r="L2296" s="339" t="s">
        <v>409</v>
      </c>
      <c r="M2296" s="339" t="s">
        <v>409</v>
      </c>
      <c r="N2296" s="338" t="s">
        <v>605</v>
      </c>
      <c r="O2296" s="338" t="s">
        <v>409</v>
      </c>
      <c r="P2296" s="338" t="s">
        <v>432</v>
      </c>
    </row>
    <row r="2297" spans="2:16" x14ac:dyDescent="0.25">
      <c r="B2297" s="336" t="s">
        <v>416</v>
      </c>
      <c r="C2297" s="337">
        <v>40043</v>
      </c>
      <c r="D2297" s="338" t="s">
        <v>956</v>
      </c>
      <c r="E2297" s="338" t="s">
        <v>5114</v>
      </c>
      <c r="F2297" s="338" t="s">
        <v>5113</v>
      </c>
      <c r="G2297" s="338">
        <v>1.65</v>
      </c>
      <c r="H2297" s="338" t="s">
        <v>425</v>
      </c>
      <c r="I2297" s="338" t="s">
        <v>411</v>
      </c>
      <c r="J2297" s="339"/>
      <c r="K2297" s="339"/>
      <c r="L2297" s="339"/>
      <c r="M2297" s="339"/>
      <c r="N2297" s="338"/>
      <c r="O2297" s="338" t="s">
        <v>417</v>
      </c>
      <c r="P2297" s="338" t="s">
        <v>443</v>
      </c>
    </row>
    <row r="2298" spans="2:16" x14ac:dyDescent="0.25">
      <c r="B2298" s="336" t="s">
        <v>416</v>
      </c>
      <c r="C2298" s="337">
        <v>40042</v>
      </c>
      <c r="D2298" s="338" t="s">
        <v>5112</v>
      </c>
      <c r="E2298" s="338" t="s">
        <v>5111</v>
      </c>
      <c r="F2298" s="338"/>
      <c r="G2298" s="338" t="s">
        <v>413</v>
      </c>
      <c r="H2298" s="338" t="s">
        <v>412</v>
      </c>
      <c r="I2298" s="338" t="s">
        <v>411</v>
      </c>
      <c r="J2298" s="339"/>
      <c r="K2298" s="339"/>
      <c r="L2298" s="339" t="s">
        <v>409</v>
      </c>
      <c r="M2298" s="339" t="s">
        <v>409</v>
      </c>
      <c r="N2298" s="338" t="s">
        <v>487</v>
      </c>
      <c r="O2298" s="338" t="s">
        <v>409</v>
      </c>
      <c r="P2298" s="338" t="s">
        <v>487</v>
      </c>
    </row>
    <row r="2299" spans="2:16" x14ac:dyDescent="0.25">
      <c r="B2299" s="336" t="s">
        <v>459</v>
      </c>
      <c r="C2299" s="337">
        <v>40039</v>
      </c>
      <c r="D2299" s="338" t="s">
        <v>5110</v>
      </c>
      <c r="E2299" s="338" t="s">
        <v>5109</v>
      </c>
      <c r="F2299" s="338"/>
      <c r="G2299" s="338">
        <v>4</v>
      </c>
      <c r="H2299" s="338" t="s">
        <v>425</v>
      </c>
      <c r="I2299" s="338" t="s">
        <v>411</v>
      </c>
      <c r="J2299" s="339"/>
      <c r="K2299" s="339"/>
      <c r="L2299" s="339" t="s">
        <v>409</v>
      </c>
      <c r="M2299" s="339" t="s">
        <v>409</v>
      </c>
      <c r="N2299" s="338" t="s">
        <v>417</v>
      </c>
      <c r="O2299" s="338" t="s">
        <v>409</v>
      </c>
      <c r="P2299" s="338" t="s">
        <v>417</v>
      </c>
    </row>
    <row r="2300" spans="2:16" x14ac:dyDescent="0.25">
      <c r="B2300" s="336" t="s">
        <v>416</v>
      </c>
      <c r="C2300" s="337">
        <v>40039</v>
      </c>
      <c r="D2300" s="338" t="s">
        <v>5108</v>
      </c>
      <c r="E2300" s="338" t="s">
        <v>5107</v>
      </c>
      <c r="F2300" s="338"/>
      <c r="G2300" s="338">
        <v>3.1</v>
      </c>
      <c r="H2300" s="338" t="s">
        <v>425</v>
      </c>
      <c r="I2300" s="338" t="s">
        <v>411</v>
      </c>
      <c r="J2300" s="339"/>
      <c r="K2300" s="339"/>
      <c r="L2300" s="339" t="s">
        <v>409</v>
      </c>
      <c r="M2300" s="339" t="s">
        <v>409</v>
      </c>
      <c r="N2300" s="338"/>
      <c r="O2300" s="338" t="s">
        <v>409</v>
      </c>
      <c r="P2300" s="338" t="s">
        <v>417</v>
      </c>
    </row>
    <row r="2301" spans="2:16" x14ac:dyDescent="0.25">
      <c r="B2301" s="336" t="s">
        <v>416</v>
      </c>
      <c r="C2301" s="337">
        <v>40038</v>
      </c>
      <c r="D2301" s="338" t="s">
        <v>3965</v>
      </c>
      <c r="E2301" s="338" t="s">
        <v>631</v>
      </c>
      <c r="F2301" s="338"/>
      <c r="G2301" s="338">
        <v>21.8</v>
      </c>
      <c r="H2301" s="338" t="s">
        <v>507</v>
      </c>
      <c r="I2301" s="338" t="s">
        <v>411</v>
      </c>
      <c r="J2301" s="339">
        <v>3.1034000000000002</v>
      </c>
      <c r="K2301" s="339">
        <v>28.1661</v>
      </c>
      <c r="L2301" s="339" t="s">
        <v>409</v>
      </c>
      <c r="M2301" s="339" t="s">
        <v>409</v>
      </c>
      <c r="N2301" s="338" t="s">
        <v>417</v>
      </c>
      <c r="O2301" s="338" t="s">
        <v>409</v>
      </c>
      <c r="P2301" s="338" t="s">
        <v>417</v>
      </c>
    </row>
    <row r="2302" spans="2:16" x14ac:dyDescent="0.25">
      <c r="B2302" s="336" t="s">
        <v>416</v>
      </c>
      <c r="C2302" s="337">
        <v>40038</v>
      </c>
      <c r="D2302" s="338" t="s">
        <v>5106</v>
      </c>
      <c r="E2302" s="338" t="s">
        <v>3582</v>
      </c>
      <c r="F2302" s="338"/>
      <c r="G2302" s="338" t="s">
        <v>413</v>
      </c>
      <c r="H2302" s="338" t="s">
        <v>412</v>
      </c>
      <c r="I2302" s="338" t="s">
        <v>411</v>
      </c>
      <c r="J2302" s="339"/>
      <c r="K2302" s="339"/>
      <c r="L2302" s="339" t="s">
        <v>409</v>
      </c>
      <c r="M2302" s="339" t="s">
        <v>409</v>
      </c>
      <c r="N2302" s="338" t="s">
        <v>443</v>
      </c>
      <c r="O2302" s="338" t="s">
        <v>409</v>
      </c>
      <c r="P2302" s="338" t="s">
        <v>410</v>
      </c>
    </row>
    <row r="2303" spans="2:16" x14ac:dyDescent="0.25">
      <c r="B2303" s="336" t="s">
        <v>416</v>
      </c>
      <c r="C2303" s="337">
        <v>40038</v>
      </c>
      <c r="D2303" s="338" t="s">
        <v>5105</v>
      </c>
      <c r="E2303" s="338" t="s">
        <v>1147</v>
      </c>
      <c r="F2303" s="338" t="s">
        <v>1220</v>
      </c>
      <c r="G2303" s="338" t="s">
        <v>413</v>
      </c>
      <c r="H2303" s="338" t="s">
        <v>425</v>
      </c>
      <c r="I2303" s="338" t="s">
        <v>411</v>
      </c>
      <c r="J2303" s="339"/>
      <c r="K2303" s="339"/>
      <c r="L2303" s="339">
        <v>0.32540599999999997</v>
      </c>
      <c r="M2303" s="339">
        <v>7.7339900000000004</v>
      </c>
      <c r="N2303" s="338"/>
      <c r="O2303" s="338" t="s">
        <v>417</v>
      </c>
      <c r="P2303" s="338" t="s">
        <v>410</v>
      </c>
    </row>
    <row r="2304" spans="2:16" x14ac:dyDescent="0.25">
      <c r="B2304" s="336" t="s">
        <v>459</v>
      </c>
      <c r="C2304" s="337">
        <v>40037</v>
      </c>
      <c r="D2304" s="338" t="s">
        <v>3804</v>
      </c>
      <c r="E2304" s="338" t="s">
        <v>4158</v>
      </c>
      <c r="F2304" s="338"/>
      <c r="G2304" s="338" t="s">
        <v>413</v>
      </c>
      <c r="H2304" s="338" t="s">
        <v>425</v>
      </c>
      <c r="I2304" s="338" t="s">
        <v>411</v>
      </c>
      <c r="J2304" s="339"/>
      <c r="K2304" s="339"/>
      <c r="L2304" s="339" t="s">
        <v>409</v>
      </c>
      <c r="M2304" s="339" t="s">
        <v>409</v>
      </c>
      <c r="N2304" s="338" t="s">
        <v>417</v>
      </c>
      <c r="O2304" s="338" t="s">
        <v>409</v>
      </c>
      <c r="P2304" s="338" t="s">
        <v>443</v>
      </c>
    </row>
    <row r="2305" spans="2:16" x14ac:dyDescent="0.25">
      <c r="B2305" s="336" t="s">
        <v>416</v>
      </c>
      <c r="C2305" s="337">
        <v>40036</v>
      </c>
      <c r="D2305" s="338" t="s">
        <v>5104</v>
      </c>
      <c r="E2305" s="338" t="s">
        <v>4436</v>
      </c>
      <c r="F2305" s="338"/>
      <c r="G2305" s="338" t="s">
        <v>413</v>
      </c>
      <c r="H2305" s="338" t="s">
        <v>425</v>
      </c>
      <c r="I2305" s="338" t="s">
        <v>411</v>
      </c>
      <c r="J2305" s="339"/>
      <c r="K2305" s="339"/>
      <c r="L2305" s="339" t="s">
        <v>409</v>
      </c>
      <c r="M2305" s="339" t="s">
        <v>409</v>
      </c>
      <c r="N2305" s="338"/>
      <c r="O2305" s="338" t="s">
        <v>409</v>
      </c>
      <c r="P2305" s="338" t="s">
        <v>417</v>
      </c>
    </row>
    <row r="2306" spans="2:16" x14ac:dyDescent="0.25">
      <c r="B2306" s="336" t="s">
        <v>459</v>
      </c>
      <c r="C2306" s="337">
        <v>40036</v>
      </c>
      <c r="D2306" s="338" t="s">
        <v>5103</v>
      </c>
      <c r="E2306" s="338" t="s">
        <v>5102</v>
      </c>
      <c r="F2306" s="338"/>
      <c r="G2306" s="338">
        <v>43</v>
      </c>
      <c r="H2306" s="338" t="s">
        <v>425</v>
      </c>
      <c r="I2306" s="338" t="s">
        <v>411</v>
      </c>
      <c r="J2306" s="339"/>
      <c r="K2306" s="339"/>
      <c r="L2306" s="339" t="s">
        <v>409</v>
      </c>
      <c r="M2306" s="339" t="s">
        <v>409</v>
      </c>
      <c r="N2306" s="338" t="s">
        <v>417</v>
      </c>
      <c r="O2306" s="338" t="s">
        <v>409</v>
      </c>
      <c r="P2306" s="338"/>
    </row>
    <row r="2307" spans="2:16" x14ac:dyDescent="0.25">
      <c r="B2307" s="336" t="s">
        <v>416</v>
      </c>
      <c r="C2307" s="337">
        <v>40035</v>
      </c>
      <c r="D2307" s="338" t="s">
        <v>945</v>
      </c>
      <c r="E2307" s="338" t="s">
        <v>5101</v>
      </c>
      <c r="F2307" s="338" t="s">
        <v>5100</v>
      </c>
      <c r="G2307" s="338" t="s">
        <v>413</v>
      </c>
      <c r="H2307" s="338" t="s">
        <v>425</v>
      </c>
      <c r="I2307" s="338" t="s">
        <v>411</v>
      </c>
      <c r="J2307" s="339"/>
      <c r="K2307" s="339"/>
      <c r="L2307" s="339"/>
      <c r="M2307" s="339"/>
      <c r="N2307" s="338"/>
      <c r="O2307" s="338" t="s">
        <v>417</v>
      </c>
      <c r="P2307" s="338" t="s">
        <v>443</v>
      </c>
    </row>
    <row r="2308" spans="2:16" x14ac:dyDescent="0.25">
      <c r="B2308" s="336" t="s">
        <v>416</v>
      </c>
      <c r="C2308" s="337">
        <v>40035</v>
      </c>
      <c r="D2308" s="338" t="s">
        <v>5099</v>
      </c>
      <c r="E2308" s="338" t="s">
        <v>5098</v>
      </c>
      <c r="F2308" s="338" t="s">
        <v>5097</v>
      </c>
      <c r="G2308" s="338" t="s">
        <v>413</v>
      </c>
      <c r="H2308" s="338" t="s">
        <v>412</v>
      </c>
      <c r="I2308" s="338" t="s">
        <v>411</v>
      </c>
      <c r="J2308" s="339"/>
      <c r="K2308" s="339"/>
      <c r="L2308" s="339"/>
      <c r="M2308" s="339"/>
      <c r="N2308" s="338" t="s">
        <v>410</v>
      </c>
      <c r="O2308" s="338"/>
      <c r="P2308" s="338" t="s">
        <v>410</v>
      </c>
    </row>
    <row r="2309" spans="2:16" x14ac:dyDescent="0.25">
      <c r="B2309" s="336" t="s">
        <v>416</v>
      </c>
      <c r="C2309" s="337">
        <v>40035</v>
      </c>
      <c r="D2309" s="338" t="s">
        <v>5096</v>
      </c>
      <c r="E2309" s="338" t="s">
        <v>538</v>
      </c>
      <c r="F2309" s="338"/>
      <c r="G2309" s="338">
        <v>514</v>
      </c>
      <c r="H2309" s="338" t="s">
        <v>412</v>
      </c>
      <c r="I2309" s="338" t="s">
        <v>411</v>
      </c>
      <c r="J2309" s="339"/>
      <c r="K2309" s="339"/>
      <c r="L2309" s="339" t="s">
        <v>409</v>
      </c>
      <c r="M2309" s="339" t="s">
        <v>409</v>
      </c>
      <c r="N2309" s="338" t="s">
        <v>417</v>
      </c>
      <c r="O2309" s="338" t="s">
        <v>409</v>
      </c>
      <c r="P2309" s="338" t="s">
        <v>417</v>
      </c>
    </row>
    <row r="2310" spans="2:16" x14ac:dyDescent="0.25">
      <c r="B2310" s="336" t="s">
        <v>416</v>
      </c>
      <c r="C2310" s="337">
        <v>40031</v>
      </c>
      <c r="D2310" s="338" t="s">
        <v>5095</v>
      </c>
      <c r="E2310" s="338" t="s">
        <v>1096</v>
      </c>
      <c r="F2310" s="338"/>
      <c r="G2310" s="338">
        <v>135</v>
      </c>
      <c r="H2310" s="338" t="s">
        <v>425</v>
      </c>
      <c r="I2310" s="338" t="s">
        <v>411</v>
      </c>
      <c r="J2310" s="339"/>
      <c r="K2310" s="339"/>
      <c r="L2310" s="339" t="s">
        <v>409</v>
      </c>
      <c r="M2310" s="339" t="s">
        <v>409</v>
      </c>
      <c r="N2310" s="338" t="s">
        <v>487</v>
      </c>
      <c r="O2310" s="338" t="s">
        <v>409</v>
      </c>
      <c r="P2310" s="338" t="s">
        <v>417</v>
      </c>
    </row>
    <row r="2311" spans="2:16" x14ac:dyDescent="0.25">
      <c r="B2311" s="336" t="s">
        <v>416</v>
      </c>
      <c r="C2311" s="337">
        <v>40031</v>
      </c>
      <c r="D2311" s="338" t="s">
        <v>5094</v>
      </c>
      <c r="E2311" s="338" t="s">
        <v>5093</v>
      </c>
      <c r="F2311" s="338" t="s">
        <v>5092</v>
      </c>
      <c r="G2311" s="338">
        <v>47.5</v>
      </c>
      <c r="H2311" s="338" t="s">
        <v>425</v>
      </c>
      <c r="I2311" s="338" t="s">
        <v>411</v>
      </c>
      <c r="J2311" s="339"/>
      <c r="K2311" s="339"/>
      <c r="L2311" s="339"/>
      <c r="M2311" s="339"/>
      <c r="N2311" s="338"/>
      <c r="O2311" s="338" t="s">
        <v>417</v>
      </c>
      <c r="P2311" s="338" t="s">
        <v>885</v>
      </c>
    </row>
    <row r="2312" spans="2:16" x14ac:dyDescent="0.25">
      <c r="B2312" s="336" t="s">
        <v>416</v>
      </c>
      <c r="C2312" s="337">
        <v>40030</v>
      </c>
      <c r="D2312" s="338" t="s">
        <v>5091</v>
      </c>
      <c r="E2312" s="338" t="s">
        <v>5090</v>
      </c>
      <c r="F2312" s="338" t="s">
        <v>5089</v>
      </c>
      <c r="G2312" s="338" t="s">
        <v>413</v>
      </c>
      <c r="H2312" s="338" t="s">
        <v>425</v>
      </c>
      <c r="I2312" s="338" t="s">
        <v>411</v>
      </c>
      <c r="J2312" s="339"/>
      <c r="K2312" s="339"/>
      <c r="L2312" s="339"/>
      <c r="M2312" s="339"/>
      <c r="N2312" s="338"/>
      <c r="O2312" s="338" t="s">
        <v>408</v>
      </c>
      <c r="P2312" s="338" t="s">
        <v>408</v>
      </c>
    </row>
    <row r="2313" spans="2:16" x14ac:dyDescent="0.25">
      <c r="B2313" s="336" t="s">
        <v>459</v>
      </c>
      <c r="C2313" s="337">
        <v>40030</v>
      </c>
      <c r="D2313" s="338" t="s">
        <v>3263</v>
      </c>
      <c r="E2313" s="338" t="s">
        <v>514</v>
      </c>
      <c r="F2313" s="338"/>
      <c r="G2313" s="338">
        <v>4.3</v>
      </c>
      <c r="H2313" s="338" t="s">
        <v>425</v>
      </c>
      <c r="I2313" s="338" t="s">
        <v>411</v>
      </c>
      <c r="J2313" s="339"/>
      <c r="K2313" s="339"/>
      <c r="L2313" s="339" t="s">
        <v>409</v>
      </c>
      <c r="M2313" s="339" t="s">
        <v>409</v>
      </c>
      <c r="N2313" s="338" t="s">
        <v>417</v>
      </c>
      <c r="O2313" s="338" t="s">
        <v>409</v>
      </c>
      <c r="P2313" s="338"/>
    </row>
    <row r="2314" spans="2:16" x14ac:dyDescent="0.25">
      <c r="B2314" s="336" t="s">
        <v>416</v>
      </c>
      <c r="C2314" s="337">
        <v>40029</v>
      </c>
      <c r="D2314" s="338" t="s">
        <v>5088</v>
      </c>
      <c r="E2314" s="338" t="s">
        <v>5087</v>
      </c>
      <c r="F2314" s="338"/>
      <c r="G2314" s="338" t="s">
        <v>413</v>
      </c>
      <c r="H2314" s="338" t="s">
        <v>412</v>
      </c>
      <c r="I2314" s="338" t="s">
        <v>411</v>
      </c>
      <c r="J2314" s="339"/>
      <c r="K2314" s="339"/>
      <c r="L2314" s="339" t="s">
        <v>409</v>
      </c>
      <c r="M2314" s="339" t="s">
        <v>409</v>
      </c>
      <c r="N2314" s="338" t="s">
        <v>417</v>
      </c>
      <c r="O2314" s="338" t="s">
        <v>409</v>
      </c>
      <c r="P2314" s="338" t="s">
        <v>417</v>
      </c>
    </row>
    <row r="2315" spans="2:16" x14ac:dyDescent="0.25">
      <c r="B2315" s="336" t="s">
        <v>416</v>
      </c>
      <c r="C2315" s="337">
        <v>40028</v>
      </c>
      <c r="D2315" s="338" t="s">
        <v>5086</v>
      </c>
      <c r="E2315" s="338" t="s">
        <v>3735</v>
      </c>
      <c r="F2315" s="338" t="s">
        <v>801</v>
      </c>
      <c r="G2315" s="338" t="s">
        <v>413</v>
      </c>
      <c r="H2315" s="338" t="s">
        <v>425</v>
      </c>
      <c r="I2315" s="338" t="s">
        <v>411</v>
      </c>
      <c r="J2315" s="339"/>
      <c r="K2315" s="339"/>
      <c r="L2315" s="339">
        <v>1.69892</v>
      </c>
      <c r="M2315" s="339">
        <v>10.0753</v>
      </c>
      <c r="N2315" s="338"/>
      <c r="O2315" s="338" t="s">
        <v>417</v>
      </c>
      <c r="P2315" s="338" t="s">
        <v>417</v>
      </c>
    </row>
    <row r="2316" spans="2:16" x14ac:dyDescent="0.25">
      <c r="B2316" s="336" t="s">
        <v>416</v>
      </c>
      <c r="C2316" s="337">
        <v>40028</v>
      </c>
      <c r="D2316" s="338" t="s">
        <v>5085</v>
      </c>
      <c r="E2316" s="338" t="s">
        <v>5084</v>
      </c>
      <c r="F2316" s="338"/>
      <c r="G2316" s="338" t="s">
        <v>413</v>
      </c>
      <c r="H2316" s="338" t="s">
        <v>412</v>
      </c>
      <c r="I2316" s="338" t="s">
        <v>411</v>
      </c>
      <c r="J2316" s="339"/>
      <c r="K2316" s="339"/>
      <c r="L2316" s="339" t="s">
        <v>409</v>
      </c>
      <c r="M2316" s="339" t="s">
        <v>409</v>
      </c>
      <c r="N2316" s="338" t="s">
        <v>487</v>
      </c>
      <c r="O2316" s="338" t="s">
        <v>409</v>
      </c>
      <c r="P2316" s="338" t="s">
        <v>417</v>
      </c>
    </row>
    <row r="2317" spans="2:16" x14ac:dyDescent="0.25">
      <c r="B2317" s="336" t="s">
        <v>416</v>
      </c>
      <c r="C2317" s="337">
        <v>40025</v>
      </c>
      <c r="D2317" s="338" t="s">
        <v>5083</v>
      </c>
      <c r="E2317" s="338" t="s">
        <v>5082</v>
      </c>
      <c r="F2317" s="338"/>
      <c r="G2317" s="338" t="s">
        <v>413</v>
      </c>
      <c r="H2317" s="338" t="s">
        <v>336</v>
      </c>
      <c r="I2317" s="338" t="s">
        <v>411</v>
      </c>
      <c r="J2317" s="339"/>
      <c r="K2317" s="339"/>
      <c r="L2317" s="339" t="s">
        <v>409</v>
      </c>
      <c r="M2317" s="339" t="s">
        <v>409</v>
      </c>
      <c r="N2317" s="338" t="s">
        <v>417</v>
      </c>
      <c r="O2317" s="338" t="s">
        <v>409</v>
      </c>
      <c r="P2317" s="338" t="s">
        <v>410</v>
      </c>
    </row>
    <row r="2318" spans="2:16" x14ac:dyDescent="0.25">
      <c r="B2318" s="336" t="s">
        <v>416</v>
      </c>
      <c r="C2318" s="337">
        <v>40024</v>
      </c>
      <c r="D2318" s="338" t="s">
        <v>956</v>
      </c>
      <c r="E2318" s="338" t="s">
        <v>714</v>
      </c>
      <c r="F2318" s="338" t="s">
        <v>5081</v>
      </c>
      <c r="G2318" s="338" t="s">
        <v>413</v>
      </c>
      <c r="H2318" s="338" t="s">
        <v>425</v>
      </c>
      <c r="I2318" s="338" t="s">
        <v>411</v>
      </c>
      <c r="J2318" s="339"/>
      <c r="K2318" s="339"/>
      <c r="L2318" s="339"/>
      <c r="M2318" s="339"/>
      <c r="N2318" s="338"/>
      <c r="O2318" s="338" t="s">
        <v>417</v>
      </c>
      <c r="P2318" s="338" t="s">
        <v>417</v>
      </c>
    </row>
    <row r="2319" spans="2:16" x14ac:dyDescent="0.25">
      <c r="B2319" s="336" t="s">
        <v>416</v>
      </c>
      <c r="C2319" s="337">
        <v>40024</v>
      </c>
      <c r="D2319" s="338" t="s">
        <v>3215</v>
      </c>
      <c r="E2319" s="338" t="s">
        <v>5080</v>
      </c>
      <c r="F2319" s="338" t="s">
        <v>3214</v>
      </c>
      <c r="G2319" s="338">
        <v>8.25</v>
      </c>
      <c r="H2319" s="338" t="s">
        <v>425</v>
      </c>
      <c r="I2319" s="338" t="s">
        <v>411</v>
      </c>
      <c r="J2319" s="339"/>
      <c r="K2319" s="339"/>
      <c r="L2319" s="339">
        <v>14.42</v>
      </c>
      <c r="M2319" s="339"/>
      <c r="N2319" s="338" t="s">
        <v>410</v>
      </c>
      <c r="O2319" s="338" t="s">
        <v>410</v>
      </c>
      <c r="P2319" s="338" t="s">
        <v>410</v>
      </c>
    </row>
    <row r="2320" spans="2:16" x14ac:dyDescent="0.25">
      <c r="B2320" s="336" t="s">
        <v>459</v>
      </c>
      <c r="C2320" s="337">
        <v>40023</v>
      </c>
      <c r="D2320" s="338" t="s">
        <v>5079</v>
      </c>
      <c r="E2320" s="338" t="s">
        <v>5078</v>
      </c>
      <c r="F2320" s="338"/>
      <c r="G2320" s="338">
        <v>24.15</v>
      </c>
      <c r="H2320" s="338" t="s">
        <v>425</v>
      </c>
      <c r="I2320" s="338" t="s">
        <v>411</v>
      </c>
      <c r="J2320" s="339"/>
      <c r="K2320" s="339"/>
      <c r="L2320" s="339" t="s">
        <v>409</v>
      </c>
      <c r="M2320" s="339" t="s">
        <v>409</v>
      </c>
      <c r="N2320" s="338" t="s">
        <v>605</v>
      </c>
      <c r="O2320" s="338" t="s">
        <v>409</v>
      </c>
      <c r="P2320" s="338"/>
    </row>
    <row r="2321" spans="2:16" x14ac:dyDescent="0.25">
      <c r="B2321" s="336" t="s">
        <v>459</v>
      </c>
      <c r="C2321" s="337">
        <v>40023</v>
      </c>
      <c r="D2321" s="338" t="s">
        <v>574</v>
      </c>
      <c r="E2321" s="338" t="s">
        <v>574</v>
      </c>
      <c r="F2321" s="338"/>
      <c r="G2321" s="338">
        <v>70.59</v>
      </c>
      <c r="H2321" s="338" t="s">
        <v>425</v>
      </c>
      <c r="I2321" s="338" t="s">
        <v>411</v>
      </c>
      <c r="J2321" s="339">
        <v>0.52815999999999996</v>
      </c>
      <c r="K2321" s="339">
        <v>5.4611299999999998</v>
      </c>
      <c r="L2321" s="339" t="s">
        <v>409</v>
      </c>
      <c r="M2321" s="339" t="s">
        <v>409</v>
      </c>
      <c r="N2321" s="338" t="s">
        <v>417</v>
      </c>
      <c r="O2321" s="338" t="s">
        <v>409</v>
      </c>
      <c r="P2321" s="338" t="s">
        <v>417</v>
      </c>
    </row>
    <row r="2322" spans="2:16" x14ac:dyDescent="0.25">
      <c r="B2322" s="336" t="s">
        <v>416</v>
      </c>
      <c r="C2322" s="337">
        <v>40022</v>
      </c>
      <c r="D2322" s="338" t="s">
        <v>2290</v>
      </c>
      <c r="E2322" s="338" t="s">
        <v>5077</v>
      </c>
      <c r="F2322" s="338"/>
      <c r="G2322" s="338">
        <v>27.24</v>
      </c>
      <c r="H2322" s="338" t="s">
        <v>336</v>
      </c>
      <c r="I2322" s="338" t="s">
        <v>411</v>
      </c>
      <c r="J2322" s="339"/>
      <c r="K2322" s="339"/>
      <c r="L2322" s="339" t="s">
        <v>409</v>
      </c>
      <c r="M2322" s="339" t="s">
        <v>409</v>
      </c>
      <c r="N2322" s="338" t="s">
        <v>417</v>
      </c>
      <c r="O2322" s="338" t="s">
        <v>409</v>
      </c>
      <c r="P2322" s="338" t="s">
        <v>410</v>
      </c>
    </row>
    <row r="2323" spans="2:16" x14ac:dyDescent="0.25">
      <c r="B2323" s="336" t="s">
        <v>416</v>
      </c>
      <c r="C2323" s="337">
        <v>40021</v>
      </c>
      <c r="D2323" s="338" t="s">
        <v>5076</v>
      </c>
      <c r="E2323" s="338" t="s">
        <v>1322</v>
      </c>
      <c r="F2323" s="338"/>
      <c r="G2323" s="338" t="s">
        <v>413</v>
      </c>
      <c r="H2323" s="338" t="s">
        <v>425</v>
      </c>
      <c r="I2323" s="338" t="s">
        <v>411</v>
      </c>
      <c r="J2323" s="339"/>
      <c r="K2323" s="339"/>
      <c r="L2323" s="339" t="s">
        <v>409</v>
      </c>
      <c r="M2323" s="339" t="s">
        <v>409</v>
      </c>
      <c r="N2323" s="338"/>
      <c r="O2323" s="338" t="s">
        <v>409</v>
      </c>
      <c r="P2323" s="338" t="s">
        <v>417</v>
      </c>
    </row>
    <row r="2324" spans="2:16" x14ac:dyDescent="0.25">
      <c r="B2324" s="336" t="s">
        <v>459</v>
      </c>
      <c r="C2324" s="337">
        <v>40017</v>
      </c>
      <c r="D2324" s="338" t="s">
        <v>3711</v>
      </c>
      <c r="E2324" s="338" t="s">
        <v>5075</v>
      </c>
      <c r="F2324" s="338"/>
      <c r="G2324" s="338">
        <v>175</v>
      </c>
      <c r="H2324" s="338" t="s">
        <v>425</v>
      </c>
      <c r="I2324" s="338" t="s">
        <v>411</v>
      </c>
      <c r="J2324" s="339">
        <v>5.4952099999999997E-2</v>
      </c>
      <c r="K2324" s="339"/>
      <c r="L2324" s="339" t="s">
        <v>409</v>
      </c>
      <c r="M2324" s="339" t="s">
        <v>409</v>
      </c>
      <c r="N2324" s="338" t="s">
        <v>410</v>
      </c>
      <c r="O2324" s="338" t="s">
        <v>409</v>
      </c>
      <c r="P2324" s="338"/>
    </row>
    <row r="2325" spans="2:16" x14ac:dyDescent="0.25">
      <c r="B2325" s="336" t="s">
        <v>416</v>
      </c>
      <c r="C2325" s="337">
        <v>40017</v>
      </c>
      <c r="D2325" s="338" t="s">
        <v>945</v>
      </c>
      <c r="E2325" s="338" t="s">
        <v>5074</v>
      </c>
      <c r="F2325" s="338" t="s">
        <v>5073</v>
      </c>
      <c r="G2325" s="338">
        <v>24</v>
      </c>
      <c r="H2325" s="338" t="s">
        <v>418</v>
      </c>
      <c r="I2325" s="338" t="s">
        <v>411</v>
      </c>
      <c r="J2325" s="339"/>
      <c r="K2325" s="339"/>
      <c r="L2325" s="339"/>
      <c r="M2325" s="339"/>
      <c r="N2325" s="338"/>
      <c r="O2325" s="338" t="s">
        <v>417</v>
      </c>
      <c r="P2325" s="338" t="s">
        <v>443</v>
      </c>
    </row>
    <row r="2326" spans="2:16" x14ac:dyDescent="0.25">
      <c r="B2326" s="336" t="s">
        <v>416</v>
      </c>
      <c r="C2326" s="337">
        <v>40017</v>
      </c>
      <c r="D2326" s="338" t="s">
        <v>5072</v>
      </c>
      <c r="E2326" s="338" t="s">
        <v>5071</v>
      </c>
      <c r="F2326" s="338"/>
      <c r="G2326" s="338" t="s">
        <v>413</v>
      </c>
      <c r="H2326" s="338" t="s">
        <v>425</v>
      </c>
      <c r="I2326" s="338" t="s">
        <v>411</v>
      </c>
      <c r="J2326" s="339"/>
      <c r="K2326" s="339"/>
      <c r="L2326" s="339" t="s">
        <v>409</v>
      </c>
      <c r="M2326" s="339" t="s">
        <v>409</v>
      </c>
      <c r="N2326" s="338" t="s">
        <v>417</v>
      </c>
      <c r="O2326" s="338" t="s">
        <v>409</v>
      </c>
      <c r="P2326" s="338"/>
    </row>
    <row r="2327" spans="2:16" x14ac:dyDescent="0.25">
      <c r="B2327" s="336" t="s">
        <v>416</v>
      </c>
      <c r="C2327" s="337">
        <v>40016</v>
      </c>
      <c r="D2327" s="338" t="s">
        <v>5070</v>
      </c>
      <c r="E2327" s="338" t="s">
        <v>5069</v>
      </c>
      <c r="F2327" s="338" t="s">
        <v>5068</v>
      </c>
      <c r="G2327" s="338">
        <v>2.2999999999999998</v>
      </c>
      <c r="H2327" s="338" t="s">
        <v>425</v>
      </c>
      <c r="I2327" s="338" t="s">
        <v>411</v>
      </c>
      <c r="J2327" s="339"/>
      <c r="K2327" s="339"/>
      <c r="L2327" s="339"/>
      <c r="M2327" s="339"/>
      <c r="N2327" s="338"/>
      <c r="O2327" s="338" t="s">
        <v>417</v>
      </c>
      <c r="P2327" s="338" t="s">
        <v>432</v>
      </c>
    </row>
    <row r="2328" spans="2:16" x14ac:dyDescent="0.25">
      <c r="B2328" s="336" t="s">
        <v>416</v>
      </c>
      <c r="C2328" s="337">
        <v>40015</v>
      </c>
      <c r="D2328" s="338" t="s">
        <v>5067</v>
      </c>
      <c r="E2328" s="338" t="s">
        <v>5066</v>
      </c>
      <c r="F2328" s="338"/>
      <c r="G2328" s="338" t="s">
        <v>413</v>
      </c>
      <c r="H2328" s="338" t="s">
        <v>412</v>
      </c>
      <c r="I2328" s="338" t="s">
        <v>411</v>
      </c>
      <c r="J2328" s="339"/>
      <c r="K2328" s="339"/>
      <c r="L2328" s="339" t="s">
        <v>409</v>
      </c>
      <c r="M2328" s="339" t="s">
        <v>409</v>
      </c>
      <c r="N2328" s="338" t="s">
        <v>417</v>
      </c>
      <c r="O2328" s="338" t="s">
        <v>409</v>
      </c>
      <c r="P2328" s="338" t="s">
        <v>443</v>
      </c>
    </row>
    <row r="2329" spans="2:16" x14ac:dyDescent="0.25">
      <c r="B2329" s="336" t="s">
        <v>416</v>
      </c>
      <c r="C2329" s="337">
        <v>40014</v>
      </c>
      <c r="D2329" s="338" t="s">
        <v>5065</v>
      </c>
      <c r="E2329" s="338" t="s">
        <v>5064</v>
      </c>
      <c r="F2329" s="338"/>
      <c r="G2329" s="338">
        <v>22.69</v>
      </c>
      <c r="H2329" s="338" t="s">
        <v>425</v>
      </c>
      <c r="I2329" s="338" t="s">
        <v>411</v>
      </c>
      <c r="J2329" s="339">
        <v>0.113425</v>
      </c>
      <c r="K2329" s="339"/>
      <c r="L2329" s="339" t="s">
        <v>409</v>
      </c>
      <c r="M2329" s="339" t="s">
        <v>409</v>
      </c>
      <c r="N2329" s="338" t="s">
        <v>417</v>
      </c>
      <c r="O2329" s="338" t="s">
        <v>409</v>
      </c>
      <c r="P2329" s="338" t="s">
        <v>443</v>
      </c>
    </row>
    <row r="2330" spans="2:16" x14ac:dyDescent="0.25">
      <c r="B2330" s="336" t="s">
        <v>416</v>
      </c>
      <c r="C2330" s="337">
        <v>40011</v>
      </c>
      <c r="D2330" s="338" t="s">
        <v>5063</v>
      </c>
      <c r="E2330" s="338" t="s">
        <v>1733</v>
      </c>
      <c r="F2330" s="338"/>
      <c r="G2330" s="338">
        <v>505.44</v>
      </c>
      <c r="H2330" s="338" t="s">
        <v>425</v>
      </c>
      <c r="I2330" s="338" t="s">
        <v>411</v>
      </c>
      <c r="J2330" s="339">
        <v>0.23719399999999999</v>
      </c>
      <c r="K2330" s="339">
        <v>5.4946599999999997</v>
      </c>
      <c r="L2330" s="339" t="s">
        <v>409</v>
      </c>
      <c r="M2330" s="339" t="s">
        <v>409</v>
      </c>
      <c r="N2330" s="338" t="s">
        <v>417</v>
      </c>
      <c r="O2330" s="338" t="s">
        <v>409</v>
      </c>
      <c r="P2330" s="338" t="s">
        <v>443</v>
      </c>
    </row>
    <row r="2331" spans="2:16" x14ac:dyDescent="0.25">
      <c r="B2331" s="336" t="s">
        <v>459</v>
      </c>
      <c r="C2331" s="337">
        <v>40010</v>
      </c>
      <c r="D2331" s="338" t="s">
        <v>5062</v>
      </c>
      <c r="E2331" s="338" t="s">
        <v>5061</v>
      </c>
      <c r="F2331" s="338"/>
      <c r="G2331" s="338" t="s">
        <v>413</v>
      </c>
      <c r="H2331" s="338" t="s">
        <v>412</v>
      </c>
      <c r="I2331" s="338" t="s">
        <v>411</v>
      </c>
      <c r="J2331" s="339"/>
      <c r="K2331" s="339"/>
      <c r="L2331" s="339" t="s">
        <v>409</v>
      </c>
      <c r="M2331" s="339" t="s">
        <v>409</v>
      </c>
      <c r="N2331" s="338" t="s">
        <v>417</v>
      </c>
      <c r="O2331" s="338" t="s">
        <v>409</v>
      </c>
      <c r="P2331" s="338" t="s">
        <v>417</v>
      </c>
    </row>
    <row r="2332" spans="2:16" x14ac:dyDescent="0.25">
      <c r="B2332" s="336" t="s">
        <v>416</v>
      </c>
      <c r="C2332" s="337">
        <v>40009</v>
      </c>
      <c r="D2332" s="338" t="s">
        <v>3488</v>
      </c>
      <c r="E2332" s="338" t="s">
        <v>5060</v>
      </c>
      <c r="F2332" s="338"/>
      <c r="G2332" s="338" t="s">
        <v>413</v>
      </c>
      <c r="H2332" s="338" t="s">
        <v>425</v>
      </c>
      <c r="I2332" s="338" t="s">
        <v>411</v>
      </c>
      <c r="J2332" s="339"/>
      <c r="K2332" s="339"/>
      <c r="L2332" s="339" t="s">
        <v>409</v>
      </c>
      <c r="M2332" s="339" t="s">
        <v>409</v>
      </c>
      <c r="N2332" s="338"/>
      <c r="O2332" s="338" t="s">
        <v>409</v>
      </c>
      <c r="P2332" s="338" t="s">
        <v>443</v>
      </c>
    </row>
    <row r="2333" spans="2:16" x14ac:dyDescent="0.25">
      <c r="B2333" s="336" t="s">
        <v>416</v>
      </c>
      <c r="C2333" s="337">
        <v>40008</v>
      </c>
      <c r="D2333" s="338" t="s">
        <v>5059</v>
      </c>
      <c r="E2333" s="338" t="s">
        <v>4627</v>
      </c>
      <c r="F2333" s="338" t="s">
        <v>5058</v>
      </c>
      <c r="G2333" s="338" t="s">
        <v>413</v>
      </c>
      <c r="H2333" s="338" t="s">
        <v>425</v>
      </c>
      <c r="I2333" s="338" t="s">
        <v>411</v>
      </c>
      <c r="J2333" s="339"/>
      <c r="K2333" s="339"/>
      <c r="L2333" s="339"/>
      <c r="M2333" s="339"/>
      <c r="N2333" s="338"/>
      <c r="O2333" s="338" t="s">
        <v>417</v>
      </c>
      <c r="P2333" s="338" t="s">
        <v>417</v>
      </c>
    </row>
    <row r="2334" spans="2:16" x14ac:dyDescent="0.25">
      <c r="B2334" s="336" t="s">
        <v>416</v>
      </c>
      <c r="C2334" s="337">
        <v>40007</v>
      </c>
      <c r="D2334" s="338" t="s">
        <v>5057</v>
      </c>
      <c r="E2334" s="338" t="s">
        <v>2894</v>
      </c>
      <c r="F2334" s="338"/>
      <c r="G2334" s="338" t="s">
        <v>413</v>
      </c>
      <c r="H2334" s="338" t="s">
        <v>412</v>
      </c>
      <c r="I2334" s="338" t="s">
        <v>411</v>
      </c>
      <c r="J2334" s="339"/>
      <c r="K2334" s="339"/>
      <c r="L2334" s="339" t="s">
        <v>409</v>
      </c>
      <c r="M2334" s="339" t="s">
        <v>409</v>
      </c>
      <c r="N2334" s="338" t="s">
        <v>417</v>
      </c>
      <c r="O2334" s="338" t="s">
        <v>409</v>
      </c>
      <c r="P2334" s="338" t="s">
        <v>417</v>
      </c>
    </row>
    <row r="2335" spans="2:16" x14ac:dyDescent="0.25">
      <c r="B2335" s="336" t="s">
        <v>416</v>
      </c>
      <c r="C2335" s="337">
        <v>40007</v>
      </c>
      <c r="D2335" s="338" t="s">
        <v>5056</v>
      </c>
      <c r="E2335" s="338" t="s">
        <v>5055</v>
      </c>
      <c r="F2335" s="338" t="s">
        <v>5054</v>
      </c>
      <c r="G2335" s="338" t="s">
        <v>413</v>
      </c>
      <c r="H2335" s="338" t="s">
        <v>425</v>
      </c>
      <c r="I2335" s="338" t="s">
        <v>411</v>
      </c>
      <c r="J2335" s="339"/>
      <c r="K2335" s="339"/>
      <c r="L2335" s="339"/>
      <c r="M2335" s="339"/>
      <c r="N2335" s="338"/>
      <c r="O2335" s="338" t="s">
        <v>410</v>
      </c>
      <c r="P2335" s="338"/>
    </row>
    <row r="2336" spans="2:16" x14ac:dyDescent="0.25">
      <c r="B2336" s="336" t="s">
        <v>459</v>
      </c>
      <c r="C2336" s="337">
        <v>40005</v>
      </c>
      <c r="D2336" s="338" t="s">
        <v>5053</v>
      </c>
      <c r="E2336" s="338" t="s">
        <v>5052</v>
      </c>
      <c r="F2336" s="338"/>
      <c r="G2336" s="338">
        <v>8.3000000000000007</v>
      </c>
      <c r="H2336" s="338" t="s">
        <v>425</v>
      </c>
      <c r="I2336" s="338" t="s">
        <v>411</v>
      </c>
      <c r="J2336" s="339"/>
      <c r="K2336" s="339"/>
      <c r="L2336" s="339" t="s">
        <v>409</v>
      </c>
      <c r="M2336" s="339" t="s">
        <v>409</v>
      </c>
      <c r="N2336" s="338" t="s">
        <v>432</v>
      </c>
      <c r="O2336" s="338" t="s">
        <v>409</v>
      </c>
      <c r="P2336" s="338"/>
    </row>
    <row r="2337" spans="2:16" x14ac:dyDescent="0.25">
      <c r="B2337" s="336" t="s">
        <v>459</v>
      </c>
      <c r="C2337" s="337">
        <v>40002</v>
      </c>
      <c r="D2337" s="338" t="s">
        <v>5051</v>
      </c>
      <c r="E2337" s="338" t="s">
        <v>5050</v>
      </c>
      <c r="F2337" s="338"/>
      <c r="G2337" s="338">
        <v>17.3</v>
      </c>
      <c r="H2337" s="338" t="s">
        <v>425</v>
      </c>
      <c r="I2337" s="338" t="s">
        <v>411</v>
      </c>
      <c r="J2337" s="339">
        <v>2.5034100000000001</v>
      </c>
      <c r="K2337" s="339">
        <v>42.032400000000003</v>
      </c>
      <c r="L2337" s="339" t="s">
        <v>409</v>
      </c>
      <c r="M2337" s="339" t="s">
        <v>409</v>
      </c>
      <c r="N2337" s="338" t="s">
        <v>487</v>
      </c>
      <c r="O2337" s="338" t="s">
        <v>409</v>
      </c>
      <c r="P2337" s="338"/>
    </row>
    <row r="2338" spans="2:16" x14ac:dyDescent="0.25">
      <c r="B2338" s="336" t="s">
        <v>416</v>
      </c>
      <c r="C2338" s="337">
        <v>40000</v>
      </c>
      <c r="D2338" s="338" t="s">
        <v>5049</v>
      </c>
      <c r="E2338" s="338" t="s">
        <v>5048</v>
      </c>
      <c r="F2338" s="338" t="s">
        <v>3004</v>
      </c>
      <c r="G2338" s="338" t="s">
        <v>413</v>
      </c>
      <c r="H2338" s="338" t="s">
        <v>425</v>
      </c>
      <c r="I2338" s="338" t="s">
        <v>411</v>
      </c>
      <c r="J2338" s="339"/>
      <c r="K2338" s="339"/>
      <c r="L2338" s="339">
        <v>0.398536</v>
      </c>
      <c r="M2338" s="339">
        <v>5.4193699999999998</v>
      </c>
      <c r="N2338" s="338"/>
      <c r="O2338" s="338" t="s">
        <v>417</v>
      </c>
      <c r="P2338" s="338" t="s">
        <v>432</v>
      </c>
    </row>
    <row r="2339" spans="2:16" x14ac:dyDescent="0.25">
      <c r="B2339" s="336" t="s">
        <v>416</v>
      </c>
      <c r="C2339" s="337">
        <v>40000</v>
      </c>
      <c r="D2339" s="338" t="s">
        <v>5047</v>
      </c>
      <c r="E2339" s="338" t="s">
        <v>453</v>
      </c>
      <c r="F2339" s="338"/>
      <c r="G2339" s="338">
        <v>115.9</v>
      </c>
      <c r="H2339" s="338" t="s">
        <v>425</v>
      </c>
      <c r="I2339" s="338" t="s">
        <v>411</v>
      </c>
      <c r="J2339" s="339">
        <v>0.85900399999999999</v>
      </c>
      <c r="K2339" s="339">
        <v>6.39581</v>
      </c>
      <c r="L2339" s="339" t="s">
        <v>409</v>
      </c>
      <c r="M2339" s="339" t="s">
        <v>409</v>
      </c>
      <c r="N2339" s="338" t="s">
        <v>417</v>
      </c>
      <c r="O2339" s="338" t="s">
        <v>409</v>
      </c>
      <c r="P2339" s="338" t="s">
        <v>443</v>
      </c>
    </row>
    <row r="2340" spans="2:16" x14ac:dyDescent="0.25">
      <c r="B2340" s="336" t="s">
        <v>416</v>
      </c>
      <c r="C2340" s="337">
        <v>39996</v>
      </c>
      <c r="D2340" s="338" t="s">
        <v>5046</v>
      </c>
      <c r="E2340" s="338" t="s">
        <v>5045</v>
      </c>
      <c r="F2340" s="338" t="s">
        <v>764</v>
      </c>
      <c r="G2340" s="338" t="s">
        <v>413</v>
      </c>
      <c r="H2340" s="338" t="s">
        <v>425</v>
      </c>
      <c r="I2340" s="338" t="s">
        <v>411</v>
      </c>
      <c r="J2340" s="339"/>
      <c r="K2340" s="339"/>
      <c r="L2340" s="339">
        <v>7.6588500000000002</v>
      </c>
      <c r="M2340" s="339">
        <v>16.0794</v>
      </c>
      <c r="N2340" s="338"/>
      <c r="O2340" s="338" t="s">
        <v>443</v>
      </c>
      <c r="P2340" s="338" t="s">
        <v>443</v>
      </c>
    </row>
    <row r="2341" spans="2:16" x14ac:dyDescent="0.25">
      <c r="B2341" s="336" t="s">
        <v>459</v>
      </c>
      <c r="C2341" s="337">
        <v>39995</v>
      </c>
      <c r="D2341" s="338" t="s">
        <v>5044</v>
      </c>
      <c r="E2341" s="338" t="s">
        <v>5043</v>
      </c>
      <c r="F2341" s="338"/>
      <c r="G2341" s="338">
        <v>5.5</v>
      </c>
      <c r="H2341" s="338" t="s">
        <v>425</v>
      </c>
      <c r="I2341" s="338" t="s">
        <v>411</v>
      </c>
      <c r="J2341" s="339"/>
      <c r="K2341" s="339"/>
      <c r="L2341" s="339" t="s">
        <v>409</v>
      </c>
      <c r="M2341" s="339" t="s">
        <v>409</v>
      </c>
      <c r="N2341" s="338" t="s">
        <v>417</v>
      </c>
      <c r="O2341" s="338" t="s">
        <v>409</v>
      </c>
      <c r="P2341" s="338" t="s">
        <v>443</v>
      </c>
    </row>
    <row r="2342" spans="2:16" x14ac:dyDescent="0.25">
      <c r="B2342" s="336" t="s">
        <v>416</v>
      </c>
      <c r="C2342" s="337">
        <v>39995</v>
      </c>
      <c r="D2342" s="338" t="s">
        <v>5042</v>
      </c>
      <c r="E2342" s="338" t="s">
        <v>4418</v>
      </c>
      <c r="F2342" s="338"/>
      <c r="G2342" s="338" t="s">
        <v>413</v>
      </c>
      <c r="H2342" s="338" t="s">
        <v>412</v>
      </c>
      <c r="I2342" s="338" t="s">
        <v>411</v>
      </c>
      <c r="J2342" s="339"/>
      <c r="K2342" s="339"/>
      <c r="L2342" s="339" t="s">
        <v>409</v>
      </c>
      <c r="M2342" s="339" t="s">
        <v>409</v>
      </c>
      <c r="N2342" s="338" t="s">
        <v>417</v>
      </c>
      <c r="O2342" s="338" t="s">
        <v>409</v>
      </c>
      <c r="P2342" s="338" t="s">
        <v>417</v>
      </c>
    </row>
    <row r="2343" spans="2:16" x14ac:dyDescent="0.25">
      <c r="B2343" s="336" t="s">
        <v>416</v>
      </c>
      <c r="C2343" s="337">
        <v>39994</v>
      </c>
      <c r="D2343" s="338" t="s">
        <v>5041</v>
      </c>
      <c r="E2343" s="338" t="s">
        <v>5040</v>
      </c>
      <c r="F2343" s="338"/>
      <c r="G2343" s="338" t="s">
        <v>413</v>
      </c>
      <c r="H2343" s="338" t="s">
        <v>425</v>
      </c>
      <c r="I2343" s="338" t="s">
        <v>411</v>
      </c>
      <c r="J2343" s="339"/>
      <c r="K2343" s="339"/>
      <c r="L2343" s="339" t="s">
        <v>409</v>
      </c>
      <c r="M2343" s="339" t="s">
        <v>409</v>
      </c>
      <c r="N2343" s="338" t="s">
        <v>417</v>
      </c>
      <c r="O2343" s="338" t="s">
        <v>409</v>
      </c>
      <c r="P2343" s="338" t="s">
        <v>432</v>
      </c>
    </row>
    <row r="2344" spans="2:16" x14ac:dyDescent="0.25">
      <c r="B2344" s="336" t="s">
        <v>416</v>
      </c>
      <c r="C2344" s="337">
        <v>39994</v>
      </c>
      <c r="D2344" s="338" t="s">
        <v>5039</v>
      </c>
      <c r="E2344" s="338" t="s">
        <v>5038</v>
      </c>
      <c r="F2344" s="338" t="s">
        <v>5037</v>
      </c>
      <c r="G2344" s="338" t="s">
        <v>413</v>
      </c>
      <c r="H2344" s="338" t="s">
        <v>412</v>
      </c>
      <c r="I2344" s="338" t="s">
        <v>411</v>
      </c>
      <c r="J2344" s="339"/>
      <c r="K2344" s="339"/>
      <c r="L2344" s="339"/>
      <c r="M2344" s="339"/>
      <c r="N2344" s="338" t="s">
        <v>417</v>
      </c>
      <c r="O2344" s="338" t="s">
        <v>417</v>
      </c>
      <c r="P2344" s="338" t="s">
        <v>417</v>
      </c>
    </row>
    <row r="2345" spans="2:16" x14ac:dyDescent="0.25">
      <c r="B2345" s="336" t="s">
        <v>416</v>
      </c>
      <c r="C2345" s="337">
        <v>39994</v>
      </c>
      <c r="D2345" s="338" t="s">
        <v>5036</v>
      </c>
      <c r="E2345" s="338" t="s">
        <v>5035</v>
      </c>
      <c r="F2345" s="338"/>
      <c r="G2345" s="338" t="s">
        <v>413</v>
      </c>
      <c r="H2345" s="338" t="s">
        <v>425</v>
      </c>
      <c r="I2345" s="338" t="s">
        <v>411</v>
      </c>
      <c r="J2345" s="339"/>
      <c r="K2345" s="339"/>
      <c r="L2345" s="339" t="s">
        <v>409</v>
      </c>
      <c r="M2345" s="339" t="s">
        <v>409</v>
      </c>
      <c r="N2345" s="338"/>
      <c r="O2345" s="338" t="s">
        <v>409</v>
      </c>
      <c r="P2345" s="338"/>
    </row>
    <row r="2346" spans="2:16" x14ac:dyDescent="0.25">
      <c r="B2346" s="336" t="s">
        <v>416</v>
      </c>
      <c r="C2346" s="337">
        <v>39994</v>
      </c>
      <c r="D2346" s="338" t="s">
        <v>5034</v>
      </c>
      <c r="E2346" s="338" t="s">
        <v>714</v>
      </c>
      <c r="F2346" s="338" t="s">
        <v>5033</v>
      </c>
      <c r="G2346" s="338" t="s">
        <v>413</v>
      </c>
      <c r="H2346" s="338" t="s">
        <v>425</v>
      </c>
      <c r="I2346" s="338" t="s">
        <v>411</v>
      </c>
      <c r="J2346" s="339"/>
      <c r="K2346" s="339"/>
      <c r="L2346" s="339"/>
      <c r="M2346" s="339"/>
      <c r="N2346" s="338"/>
      <c r="O2346" s="338" t="s">
        <v>417</v>
      </c>
      <c r="P2346" s="338" t="s">
        <v>417</v>
      </c>
    </row>
    <row r="2347" spans="2:16" x14ac:dyDescent="0.25">
      <c r="B2347" s="336" t="s">
        <v>416</v>
      </c>
      <c r="C2347" s="337">
        <v>39993</v>
      </c>
      <c r="D2347" s="338" t="s">
        <v>5032</v>
      </c>
      <c r="E2347" s="338" t="s">
        <v>5031</v>
      </c>
      <c r="F2347" s="338" t="s">
        <v>5030</v>
      </c>
      <c r="G2347" s="338" t="s">
        <v>413</v>
      </c>
      <c r="H2347" s="338" t="s">
        <v>425</v>
      </c>
      <c r="I2347" s="338" t="s">
        <v>411</v>
      </c>
      <c r="J2347" s="339"/>
      <c r="K2347" s="339"/>
      <c r="L2347" s="339">
        <v>0.50795100000000004</v>
      </c>
      <c r="M2347" s="339">
        <v>12.340199999999999</v>
      </c>
      <c r="N2347" s="338" t="s">
        <v>417</v>
      </c>
      <c r="O2347" s="338" t="s">
        <v>417</v>
      </c>
      <c r="P2347" s="338" t="s">
        <v>443</v>
      </c>
    </row>
    <row r="2348" spans="2:16" x14ac:dyDescent="0.25">
      <c r="B2348" s="336" t="s">
        <v>459</v>
      </c>
      <c r="C2348" s="337">
        <v>39992</v>
      </c>
      <c r="D2348" s="338" t="s">
        <v>1568</v>
      </c>
      <c r="E2348" s="338" t="s">
        <v>3121</v>
      </c>
      <c r="F2348" s="338"/>
      <c r="G2348" s="338">
        <v>7</v>
      </c>
      <c r="H2348" s="338" t="s">
        <v>425</v>
      </c>
      <c r="I2348" s="338" t="s">
        <v>411</v>
      </c>
      <c r="J2348" s="339"/>
      <c r="K2348" s="339"/>
      <c r="L2348" s="339" t="s">
        <v>409</v>
      </c>
      <c r="M2348" s="339" t="s">
        <v>409</v>
      </c>
      <c r="N2348" s="338" t="s">
        <v>432</v>
      </c>
      <c r="O2348" s="338" t="s">
        <v>409</v>
      </c>
      <c r="P2348" s="338"/>
    </row>
    <row r="2349" spans="2:16" x14ac:dyDescent="0.25">
      <c r="B2349" s="336" t="s">
        <v>416</v>
      </c>
      <c r="C2349" s="337">
        <v>39990</v>
      </c>
      <c r="D2349" s="338" t="s">
        <v>5029</v>
      </c>
      <c r="E2349" s="338" t="s">
        <v>669</v>
      </c>
      <c r="F2349" s="338" t="s">
        <v>2425</v>
      </c>
      <c r="G2349" s="338">
        <v>1.3</v>
      </c>
      <c r="H2349" s="338" t="s">
        <v>425</v>
      </c>
      <c r="I2349" s="338" t="s">
        <v>411</v>
      </c>
      <c r="J2349" s="339"/>
      <c r="K2349" s="339"/>
      <c r="L2349" s="339">
        <v>0.323432</v>
      </c>
      <c r="M2349" s="339"/>
      <c r="N2349" s="338"/>
      <c r="O2349" s="338" t="s">
        <v>417</v>
      </c>
      <c r="P2349" s="338"/>
    </row>
    <row r="2350" spans="2:16" x14ac:dyDescent="0.25">
      <c r="B2350" s="336" t="s">
        <v>416</v>
      </c>
      <c r="C2350" s="337">
        <v>39989</v>
      </c>
      <c r="D2350" s="338" t="s">
        <v>5028</v>
      </c>
      <c r="E2350" s="338" t="s">
        <v>680</v>
      </c>
      <c r="F2350" s="338"/>
      <c r="G2350" s="338">
        <v>256.36</v>
      </c>
      <c r="H2350" s="338" t="s">
        <v>336</v>
      </c>
      <c r="I2350" s="338" t="s">
        <v>411</v>
      </c>
      <c r="J2350" s="339">
        <v>0.26736300000000002</v>
      </c>
      <c r="K2350" s="339">
        <v>5.1707099999999997</v>
      </c>
      <c r="L2350" s="339" t="s">
        <v>409</v>
      </c>
      <c r="M2350" s="339" t="s">
        <v>409</v>
      </c>
      <c r="N2350" s="338" t="s">
        <v>417</v>
      </c>
      <c r="O2350" s="338" t="s">
        <v>409</v>
      </c>
      <c r="P2350" s="338" t="s">
        <v>417</v>
      </c>
    </row>
    <row r="2351" spans="2:16" x14ac:dyDescent="0.25">
      <c r="B2351" s="336" t="s">
        <v>416</v>
      </c>
      <c r="C2351" s="337">
        <v>39988</v>
      </c>
      <c r="D2351" s="338" t="s">
        <v>5027</v>
      </c>
      <c r="E2351" s="338" t="s">
        <v>5026</v>
      </c>
      <c r="F2351" s="338"/>
      <c r="G2351" s="338" t="s">
        <v>413</v>
      </c>
      <c r="H2351" s="338" t="s">
        <v>425</v>
      </c>
      <c r="I2351" s="338" t="s">
        <v>411</v>
      </c>
      <c r="J2351" s="339">
        <v>0.12418899999999999</v>
      </c>
      <c r="K2351" s="339"/>
      <c r="L2351" s="339" t="s">
        <v>409</v>
      </c>
      <c r="M2351" s="339" t="s">
        <v>409</v>
      </c>
      <c r="N2351" s="338" t="s">
        <v>417</v>
      </c>
      <c r="O2351" s="338" t="s">
        <v>409</v>
      </c>
      <c r="P2351" s="338" t="s">
        <v>443</v>
      </c>
    </row>
    <row r="2352" spans="2:16" x14ac:dyDescent="0.25">
      <c r="B2352" s="336" t="s">
        <v>416</v>
      </c>
      <c r="C2352" s="337">
        <v>39988</v>
      </c>
      <c r="D2352" s="338" t="s">
        <v>945</v>
      </c>
      <c r="E2352" s="338" t="s">
        <v>714</v>
      </c>
      <c r="F2352" s="338" t="s">
        <v>5025</v>
      </c>
      <c r="G2352" s="338" t="s">
        <v>413</v>
      </c>
      <c r="H2352" s="338" t="s">
        <v>425</v>
      </c>
      <c r="I2352" s="338" t="s">
        <v>411</v>
      </c>
      <c r="J2352" s="339"/>
      <c r="K2352" s="339"/>
      <c r="L2352" s="339"/>
      <c r="M2352" s="339"/>
      <c r="N2352" s="338"/>
      <c r="O2352" s="338" t="s">
        <v>417</v>
      </c>
      <c r="P2352" s="338" t="s">
        <v>417</v>
      </c>
    </row>
    <row r="2353" spans="2:16" x14ac:dyDescent="0.25">
      <c r="B2353" s="336" t="s">
        <v>459</v>
      </c>
      <c r="C2353" s="337">
        <v>39987</v>
      </c>
      <c r="D2353" s="338" t="s">
        <v>2269</v>
      </c>
      <c r="E2353" s="338" t="s">
        <v>5024</v>
      </c>
      <c r="F2353" s="338"/>
      <c r="G2353" s="338">
        <v>350</v>
      </c>
      <c r="H2353" s="338" t="s">
        <v>425</v>
      </c>
      <c r="I2353" s="338" t="s">
        <v>411</v>
      </c>
      <c r="J2353" s="339">
        <v>0.229437</v>
      </c>
      <c r="K2353" s="339">
        <v>10.070499999999999</v>
      </c>
      <c r="L2353" s="339" t="s">
        <v>409</v>
      </c>
      <c r="M2353" s="339" t="s">
        <v>409</v>
      </c>
      <c r="N2353" s="338" t="s">
        <v>417</v>
      </c>
      <c r="O2353" s="338" t="s">
        <v>409</v>
      </c>
      <c r="P2353" s="338" t="s">
        <v>443</v>
      </c>
    </row>
    <row r="2354" spans="2:16" x14ac:dyDescent="0.25">
      <c r="B2354" s="336" t="s">
        <v>416</v>
      </c>
      <c r="C2354" s="337">
        <v>39986</v>
      </c>
      <c r="D2354" s="338" t="s">
        <v>5023</v>
      </c>
      <c r="E2354" s="338" t="s">
        <v>5022</v>
      </c>
      <c r="F2354" s="338" t="s">
        <v>5021</v>
      </c>
      <c r="G2354" s="338">
        <v>106.5</v>
      </c>
      <c r="H2354" s="338" t="s">
        <v>425</v>
      </c>
      <c r="I2354" s="338" t="s">
        <v>411</v>
      </c>
      <c r="J2354" s="339"/>
      <c r="K2354" s="339"/>
      <c r="L2354" s="339"/>
      <c r="M2354" s="339"/>
      <c r="N2354" s="338" t="s">
        <v>417</v>
      </c>
      <c r="O2354" s="338" t="s">
        <v>543</v>
      </c>
      <c r="P2354" s="338" t="s">
        <v>417</v>
      </c>
    </row>
    <row r="2355" spans="2:16" x14ac:dyDescent="0.25">
      <c r="B2355" s="336" t="s">
        <v>416</v>
      </c>
      <c r="C2355" s="337">
        <v>39986</v>
      </c>
      <c r="D2355" s="338" t="s">
        <v>5020</v>
      </c>
      <c r="E2355" s="338" t="s">
        <v>5019</v>
      </c>
      <c r="F2355" s="338" t="s">
        <v>847</v>
      </c>
      <c r="G2355" s="338">
        <v>7</v>
      </c>
      <c r="H2355" s="338" t="s">
        <v>425</v>
      </c>
      <c r="I2355" s="338" t="s">
        <v>411</v>
      </c>
      <c r="J2355" s="339"/>
      <c r="K2355" s="339"/>
      <c r="L2355" s="339">
        <v>0.73045499999999997</v>
      </c>
      <c r="M2355" s="339">
        <v>7.7241400000000002</v>
      </c>
      <c r="N2355" s="338"/>
      <c r="O2355" s="338" t="s">
        <v>417</v>
      </c>
      <c r="P2355" s="338" t="s">
        <v>417</v>
      </c>
    </row>
    <row r="2356" spans="2:16" x14ac:dyDescent="0.25">
      <c r="B2356" s="336" t="s">
        <v>416</v>
      </c>
      <c r="C2356" s="337">
        <v>39985</v>
      </c>
      <c r="D2356" s="338" t="s">
        <v>5018</v>
      </c>
      <c r="E2356" s="338" t="s">
        <v>5017</v>
      </c>
      <c r="F2356" s="338"/>
      <c r="G2356" s="338">
        <v>550</v>
      </c>
      <c r="H2356" s="338" t="s">
        <v>412</v>
      </c>
      <c r="I2356" s="338" t="s">
        <v>411</v>
      </c>
      <c r="J2356" s="339"/>
      <c r="K2356" s="339"/>
      <c r="L2356" s="339" t="s">
        <v>409</v>
      </c>
      <c r="M2356" s="339" t="s">
        <v>409</v>
      </c>
      <c r="N2356" s="338"/>
      <c r="O2356" s="338" t="s">
        <v>409</v>
      </c>
      <c r="P2356" s="338" t="s">
        <v>410</v>
      </c>
    </row>
    <row r="2357" spans="2:16" x14ac:dyDescent="0.25">
      <c r="B2357" s="336" t="s">
        <v>416</v>
      </c>
      <c r="C2357" s="337">
        <v>39983</v>
      </c>
      <c r="D2357" s="338" t="s">
        <v>5016</v>
      </c>
      <c r="E2357" s="338" t="s">
        <v>514</v>
      </c>
      <c r="F2357" s="338" t="s">
        <v>801</v>
      </c>
      <c r="G2357" s="338" t="s">
        <v>413</v>
      </c>
      <c r="H2357" s="338" t="s">
        <v>425</v>
      </c>
      <c r="I2357" s="338" t="s">
        <v>411</v>
      </c>
      <c r="J2357" s="339"/>
      <c r="K2357" s="339"/>
      <c r="L2357" s="339">
        <v>1.69892</v>
      </c>
      <c r="M2357" s="339">
        <v>10.0753</v>
      </c>
      <c r="N2357" s="338"/>
      <c r="O2357" s="338" t="s">
        <v>417</v>
      </c>
      <c r="P2357" s="338"/>
    </row>
    <row r="2358" spans="2:16" x14ac:dyDescent="0.25">
      <c r="B2358" s="336" t="s">
        <v>459</v>
      </c>
      <c r="C2358" s="337">
        <v>39983</v>
      </c>
      <c r="D2358" s="338" t="s">
        <v>5015</v>
      </c>
      <c r="E2358" s="338" t="s">
        <v>5014</v>
      </c>
      <c r="F2358" s="338"/>
      <c r="G2358" s="338">
        <v>9</v>
      </c>
      <c r="H2358" s="338" t="s">
        <v>425</v>
      </c>
      <c r="I2358" s="338" t="s">
        <v>411</v>
      </c>
      <c r="J2358" s="339"/>
      <c r="K2358" s="339"/>
      <c r="L2358" s="339" t="s">
        <v>409</v>
      </c>
      <c r="M2358" s="339" t="s">
        <v>409</v>
      </c>
      <c r="N2358" s="338" t="s">
        <v>410</v>
      </c>
      <c r="O2358" s="338" t="s">
        <v>409</v>
      </c>
      <c r="P2358" s="338" t="s">
        <v>443</v>
      </c>
    </row>
    <row r="2359" spans="2:16" x14ac:dyDescent="0.25">
      <c r="B2359" s="336" t="s">
        <v>416</v>
      </c>
      <c r="C2359" s="337">
        <v>39981</v>
      </c>
      <c r="D2359" s="338" t="s">
        <v>594</v>
      </c>
      <c r="E2359" s="338" t="s">
        <v>5013</v>
      </c>
      <c r="F2359" s="338" t="s">
        <v>2049</v>
      </c>
      <c r="G2359" s="338" t="s">
        <v>413</v>
      </c>
      <c r="H2359" s="338" t="s">
        <v>412</v>
      </c>
      <c r="I2359" s="338" t="s">
        <v>411</v>
      </c>
      <c r="J2359" s="339"/>
      <c r="K2359" s="339"/>
      <c r="L2359" s="339"/>
      <c r="M2359" s="339"/>
      <c r="N2359" s="338" t="s">
        <v>417</v>
      </c>
      <c r="O2359" s="338" t="s">
        <v>443</v>
      </c>
      <c r="P2359" s="338" t="s">
        <v>443</v>
      </c>
    </row>
    <row r="2360" spans="2:16" x14ac:dyDescent="0.25">
      <c r="B2360" s="336" t="s">
        <v>416</v>
      </c>
      <c r="C2360" s="337">
        <v>39981</v>
      </c>
      <c r="D2360" s="338" t="s">
        <v>956</v>
      </c>
      <c r="E2360" s="338" t="s">
        <v>2557</v>
      </c>
      <c r="F2360" s="338"/>
      <c r="G2360" s="338">
        <v>1.3</v>
      </c>
      <c r="H2360" s="338" t="s">
        <v>425</v>
      </c>
      <c r="I2360" s="338" t="s">
        <v>411</v>
      </c>
      <c r="J2360" s="339"/>
      <c r="K2360" s="339"/>
      <c r="L2360" s="339" t="s">
        <v>409</v>
      </c>
      <c r="M2360" s="339" t="s">
        <v>409</v>
      </c>
      <c r="N2360" s="338"/>
      <c r="O2360" s="338" t="s">
        <v>409</v>
      </c>
      <c r="P2360" s="338" t="s">
        <v>417</v>
      </c>
    </row>
    <row r="2361" spans="2:16" x14ac:dyDescent="0.25">
      <c r="B2361" s="336" t="s">
        <v>416</v>
      </c>
      <c r="C2361" s="337">
        <v>39981</v>
      </c>
      <c r="D2361" s="338" t="s">
        <v>5012</v>
      </c>
      <c r="E2361" s="338" t="s">
        <v>5011</v>
      </c>
      <c r="F2361" s="338"/>
      <c r="G2361" s="338" t="s">
        <v>413</v>
      </c>
      <c r="H2361" s="338" t="s">
        <v>412</v>
      </c>
      <c r="I2361" s="338" t="s">
        <v>411</v>
      </c>
      <c r="J2361" s="339"/>
      <c r="K2361" s="339"/>
      <c r="L2361" s="339" t="s">
        <v>409</v>
      </c>
      <c r="M2361" s="339" t="s">
        <v>409</v>
      </c>
      <c r="N2361" s="338" t="s">
        <v>417</v>
      </c>
      <c r="O2361" s="338" t="s">
        <v>409</v>
      </c>
      <c r="P2361" s="338" t="s">
        <v>443</v>
      </c>
    </row>
    <row r="2362" spans="2:16" x14ac:dyDescent="0.25">
      <c r="B2362" s="336" t="s">
        <v>416</v>
      </c>
      <c r="C2362" s="337">
        <v>39980</v>
      </c>
      <c r="D2362" s="338" t="s">
        <v>5010</v>
      </c>
      <c r="E2362" s="338" t="s">
        <v>889</v>
      </c>
      <c r="F2362" s="338"/>
      <c r="G2362" s="338" t="s">
        <v>413</v>
      </c>
      <c r="H2362" s="338" t="s">
        <v>425</v>
      </c>
      <c r="I2362" s="338" t="s">
        <v>411</v>
      </c>
      <c r="J2362" s="339"/>
      <c r="K2362" s="339"/>
      <c r="L2362" s="339" t="s">
        <v>409</v>
      </c>
      <c r="M2362" s="339" t="s">
        <v>409</v>
      </c>
      <c r="N2362" s="338"/>
      <c r="O2362" s="338" t="s">
        <v>409</v>
      </c>
      <c r="P2362" s="338" t="s">
        <v>410</v>
      </c>
    </row>
    <row r="2363" spans="2:16" x14ac:dyDescent="0.25">
      <c r="B2363" s="336" t="s">
        <v>416</v>
      </c>
      <c r="C2363" s="337">
        <v>39980</v>
      </c>
      <c r="D2363" s="338" t="s">
        <v>5009</v>
      </c>
      <c r="E2363" s="338" t="s">
        <v>5008</v>
      </c>
      <c r="F2363" s="338" t="s">
        <v>5007</v>
      </c>
      <c r="G2363" s="338">
        <v>68.8</v>
      </c>
      <c r="H2363" s="338" t="s">
        <v>425</v>
      </c>
      <c r="I2363" s="338" t="s">
        <v>411</v>
      </c>
      <c r="J2363" s="339"/>
      <c r="K2363" s="339"/>
      <c r="L2363" s="339"/>
      <c r="M2363" s="339"/>
      <c r="N2363" s="338"/>
      <c r="O2363" s="338" t="s">
        <v>417</v>
      </c>
      <c r="P2363" s="338" t="s">
        <v>417</v>
      </c>
    </row>
    <row r="2364" spans="2:16" x14ac:dyDescent="0.25">
      <c r="B2364" s="336" t="s">
        <v>416</v>
      </c>
      <c r="C2364" s="337">
        <v>39980</v>
      </c>
      <c r="D2364" s="338" t="s">
        <v>4920</v>
      </c>
      <c r="E2364" s="338" t="s">
        <v>5006</v>
      </c>
      <c r="F2364" s="338" t="s">
        <v>4919</v>
      </c>
      <c r="G2364" s="338">
        <v>65.8</v>
      </c>
      <c r="H2364" s="338" t="s">
        <v>425</v>
      </c>
      <c r="I2364" s="338" t="s">
        <v>411</v>
      </c>
      <c r="J2364" s="339"/>
      <c r="K2364" s="339"/>
      <c r="L2364" s="339"/>
      <c r="M2364" s="339"/>
      <c r="N2364" s="338" t="s">
        <v>417</v>
      </c>
      <c r="O2364" s="338" t="s">
        <v>443</v>
      </c>
      <c r="P2364" s="338"/>
    </row>
    <row r="2365" spans="2:16" x14ac:dyDescent="0.25">
      <c r="B2365" s="336" t="s">
        <v>416</v>
      </c>
      <c r="C2365" s="337">
        <v>39980</v>
      </c>
      <c r="D2365" s="338" t="s">
        <v>3186</v>
      </c>
      <c r="E2365" s="338" t="s">
        <v>5005</v>
      </c>
      <c r="F2365" s="338" t="s">
        <v>3185</v>
      </c>
      <c r="G2365" s="338" t="s">
        <v>413</v>
      </c>
      <c r="H2365" s="338" t="s">
        <v>412</v>
      </c>
      <c r="I2365" s="338" t="s">
        <v>411</v>
      </c>
      <c r="J2365" s="339"/>
      <c r="K2365" s="339"/>
      <c r="L2365" s="339">
        <v>0.48228199999999999</v>
      </c>
      <c r="M2365" s="339">
        <v>6.0136500000000002</v>
      </c>
      <c r="N2365" s="338" t="s">
        <v>443</v>
      </c>
      <c r="O2365" s="338" t="s">
        <v>417</v>
      </c>
      <c r="P2365" s="338" t="s">
        <v>443</v>
      </c>
    </row>
    <row r="2366" spans="2:16" x14ac:dyDescent="0.25">
      <c r="B2366" s="336" t="s">
        <v>416</v>
      </c>
      <c r="C2366" s="337">
        <v>39980</v>
      </c>
      <c r="D2366" s="338" t="s">
        <v>5004</v>
      </c>
      <c r="E2366" s="338" t="s">
        <v>5003</v>
      </c>
      <c r="F2366" s="338"/>
      <c r="G2366" s="338" t="s">
        <v>413</v>
      </c>
      <c r="H2366" s="338" t="s">
        <v>412</v>
      </c>
      <c r="I2366" s="338" t="s">
        <v>411</v>
      </c>
      <c r="J2366" s="339"/>
      <c r="K2366" s="339"/>
      <c r="L2366" s="339" t="s">
        <v>409</v>
      </c>
      <c r="M2366" s="339" t="s">
        <v>409</v>
      </c>
      <c r="N2366" s="338" t="s">
        <v>417</v>
      </c>
      <c r="O2366" s="338" t="s">
        <v>409</v>
      </c>
      <c r="P2366" s="338" t="s">
        <v>482</v>
      </c>
    </row>
    <row r="2367" spans="2:16" x14ac:dyDescent="0.25">
      <c r="B2367" s="336" t="s">
        <v>416</v>
      </c>
      <c r="C2367" s="337">
        <v>39976</v>
      </c>
      <c r="D2367" s="338" t="s">
        <v>945</v>
      </c>
      <c r="E2367" s="338" t="s">
        <v>5002</v>
      </c>
      <c r="F2367" s="338" t="s">
        <v>5001</v>
      </c>
      <c r="G2367" s="338" t="s">
        <v>413</v>
      </c>
      <c r="H2367" s="338" t="s">
        <v>425</v>
      </c>
      <c r="I2367" s="338" t="s">
        <v>411</v>
      </c>
      <c r="J2367" s="339"/>
      <c r="K2367" s="339"/>
      <c r="L2367" s="339"/>
      <c r="M2367" s="339"/>
      <c r="N2367" s="338"/>
      <c r="O2367" s="338" t="s">
        <v>417</v>
      </c>
      <c r="P2367" s="338" t="s">
        <v>417</v>
      </c>
    </row>
    <row r="2368" spans="2:16" x14ac:dyDescent="0.25">
      <c r="B2368" s="336" t="s">
        <v>416</v>
      </c>
      <c r="C2368" s="337">
        <v>39975</v>
      </c>
      <c r="D2368" s="338" t="s">
        <v>5000</v>
      </c>
      <c r="E2368" s="338" t="s">
        <v>4540</v>
      </c>
      <c r="F2368" s="338"/>
      <c r="G2368" s="338" t="s">
        <v>413</v>
      </c>
      <c r="H2368" s="338" t="s">
        <v>412</v>
      </c>
      <c r="I2368" s="338" t="s">
        <v>411</v>
      </c>
      <c r="J2368" s="339"/>
      <c r="K2368" s="339"/>
      <c r="L2368" s="339" t="s">
        <v>409</v>
      </c>
      <c r="M2368" s="339" t="s">
        <v>409</v>
      </c>
      <c r="N2368" s="338" t="s">
        <v>417</v>
      </c>
      <c r="O2368" s="338" t="s">
        <v>409</v>
      </c>
      <c r="P2368" s="338" t="s">
        <v>417</v>
      </c>
    </row>
    <row r="2369" spans="2:16" x14ac:dyDescent="0.25">
      <c r="B2369" s="336" t="s">
        <v>416</v>
      </c>
      <c r="C2369" s="337">
        <v>39974</v>
      </c>
      <c r="D2369" s="338" t="s">
        <v>4999</v>
      </c>
      <c r="E2369" s="338" t="s">
        <v>4998</v>
      </c>
      <c r="F2369" s="338" t="s">
        <v>4997</v>
      </c>
      <c r="G2369" s="338" t="s">
        <v>413</v>
      </c>
      <c r="H2369" s="338" t="s">
        <v>412</v>
      </c>
      <c r="I2369" s="338" t="s">
        <v>411</v>
      </c>
      <c r="J2369" s="339">
        <v>0.174318</v>
      </c>
      <c r="K2369" s="339">
        <v>3.7180399999999998</v>
      </c>
      <c r="L2369" s="339">
        <v>0.21075099999999999</v>
      </c>
      <c r="M2369" s="339"/>
      <c r="N2369" s="338" t="s">
        <v>487</v>
      </c>
      <c r="O2369" s="338" t="s">
        <v>417</v>
      </c>
      <c r="P2369" s="338" t="s">
        <v>487</v>
      </c>
    </row>
    <row r="2370" spans="2:16" x14ac:dyDescent="0.25">
      <c r="B2370" s="336" t="s">
        <v>1441</v>
      </c>
      <c r="C2370" s="337">
        <v>39973</v>
      </c>
      <c r="D2370" s="338" t="s">
        <v>4996</v>
      </c>
      <c r="E2370" s="338" t="s">
        <v>4995</v>
      </c>
      <c r="F2370" s="338"/>
      <c r="G2370" s="338" t="s">
        <v>413</v>
      </c>
      <c r="H2370" s="338" t="s">
        <v>412</v>
      </c>
      <c r="I2370" s="338" t="s">
        <v>411</v>
      </c>
      <c r="J2370" s="339">
        <v>1.7567599999999999E-2</v>
      </c>
      <c r="K2370" s="339"/>
      <c r="L2370" s="339" t="s">
        <v>409</v>
      </c>
      <c r="M2370" s="339" t="s">
        <v>409</v>
      </c>
      <c r="N2370" s="338" t="s">
        <v>543</v>
      </c>
      <c r="O2370" s="338" t="s">
        <v>409</v>
      </c>
      <c r="P2370" s="338" t="s">
        <v>432</v>
      </c>
    </row>
    <row r="2371" spans="2:16" x14ac:dyDescent="0.25">
      <c r="B2371" s="336" t="s">
        <v>416</v>
      </c>
      <c r="C2371" s="337">
        <v>39972</v>
      </c>
      <c r="D2371" s="338" t="s">
        <v>4994</v>
      </c>
      <c r="E2371" s="338" t="s">
        <v>4993</v>
      </c>
      <c r="F2371" s="338" t="s">
        <v>4992</v>
      </c>
      <c r="G2371" s="338">
        <v>1.5</v>
      </c>
      <c r="H2371" s="338" t="s">
        <v>425</v>
      </c>
      <c r="I2371" s="338" t="s">
        <v>411</v>
      </c>
      <c r="J2371" s="339"/>
      <c r="K2371" s="339"/>
      <c r="L2371" s="339">
        <v>0.13784299999999999</v>
      </c>
      <c r="M2371" s="339">
        <v>4.17075</v>
      </c>
      <c r="N2371" s="338"/>
      <c r="O2371" s="338" t="s">
        <v>408</v>
      </c>
      <c r="P2371" s="338" t="s">
        <v>417</v>
      </c>
    </row>
    <row r="2372" spans="2:16" x14ac:dyDescent="0.25">
      <c r="B2372" s="336" t="s">
        <v>416</v>
      </c>
      <c r="C2372" s="337">
        <v>39972</v>
      </c>
      <c r="D2372" s="338" t="s">
        <v>4991</v>
      </c>
      <c r="E2372" s="338" t="s">
        <v>1733</v>
      </c>
      <c r="F2372" s="338" t="s">
        <v>4990</v>
      </c>
      <c r="G2372" s="338">
        <v>75</v>
      </c>
      <c r="H2372" s="338" t="s">
        <v>425</v>
      </c>
      <c r="I2372" s="338" t="s">
        <v>411</v>
      </c>
      <c r="J2372" s="339"/>
      <c r="K2372" s="339"/>
      <c r="L2372" s="339">
        <v>0.34881099999999998</v>
      </c>
      <c r="M2372" s="339"/>
      <c r="N2372" s="338"/>
      <c r="O2372" s="338" t="s">
        <v>417</v>
      </c>
      <c r="P2372" s="338" t="s">
        <v>443</v>
      </c>
    </row>
    <row r="2373" spans="2:16" x14ac:dyDescent="0.25">
      <c r="B2373" s="336" t="s">
        <v>416</v>
      </c>
      <c r="C2373" s="337">
        <v>39969</v>
      </c>
      <c r="D2373" s="338" t="s">
        <v>4989</v>
      </c>
      <c r="E2373" s="338" t="s">
        <v>4988</v>
      </c>
      <c r="F2373" s="338"/>
      <c r="G2373" s="338" t="s">
        <v>413</v>
      </c>
      <c r="H2373" s="338" t="s">
        <v>425</v>
      </c>
      <c r="I2373" s="338" t="s">
        <v>411</v>
      </c>
      <c r="J2373" s="339"/>
      <c r="K2373" s="339"/>
      <c r="L2373" s="339" t="s">
        <v>409</v>
      </c>
      <c r="M2373" s="339" t="s">
        <v>409</v>
      </c>
      <c r="N2373" s="338" t="s">
        <v>417</v>
      </c>
      <c r="O2373" s="338" t="s">
        <v>409</v>
      </c>
      <c r="P2373" s="338" t="s">
        <v>443</v>
      </c>
    </row>
    <row r="2374" spans="2:16" x14ac:dyDescent="0.25">
      <c r="B2374" s="336" t="s">
        <v>416</v>
      </c>
      <c r="C2374" s="337">
        <v>39968</v>
      </c>
      <c r="D2374" s="338" t="s">
        <v>4987</v>
      </c>
      <c r="E2374" s="338" t="s">
        <v>4986</v>
      </c>
      <c r="F2374" s="338"/>
      <c r="G2374" s="338" t="s">
        <v>413</v>
      </c>
      <c r="H2374" s="338" t="s">
        <v>412</v>
      </c>
      <c r="I2374" s="338" t="s">
        <v>411</v>
      </c>
      <c r="J2374" s="339"/>
      <c r="K2374" s="339"/>
      <c r="L2374" s="339" t="s">
        <v>409</v>
      </c>
      <c r="M2374" s="339" t="s">
        <v>409</v>
      </c>
      <c r="N2374" s="338" t="s">
        <v>410</v>
      </c>
      <c r="O2374" s="338" t="s">
        <v>409</v>
      </c>
      <c r="P2374" s="338" t="s">
        <v>417</v>
      </c>
    </row>
    <row r="2375" spans="2:16" x14ac:dyDescent="0.25">
      <c r="B2375" s="336" t="s">
        <v>416</v>
      </c>
      <c r="C2375" s="337">
        <v>39967</v>
      </c>
      <c r="D2375" s="338" t="s">
        <v>945</v>
      </c>
      <c r="E2375" s="338" t="s">
        <v>4985</v>
      </c>
      <c r="F2375" s="338" t="s">
        <v>4984</v>
      </c>
      <c r="G2375" s="338" t="s">
        <v>413</v>
      </c>
      <c r="H2375" s="338" t="s">
        <v>425</v>
      </c>
      <c r="I2375" s="338" t="s">
        <v>411</v>
      </c>
      <c r="J2375" s="339"/>
      <c r="K2375" s="339"/>
      <c r="L2375" s="339"/>
      <c r="M2375" s="339"/>
      <c r="N2375" s="338"/>
      <c r="O2375" s="338" t="s">
        <v>417</v>
      </c>
      <c r="P2375" s="338" t="s">
        <v>417</v>
      </c>
    </row>
    <row r="2376" spans="2:16" x14ac:dyDescent="0.25">
      <c r="B2376" s="336" t="s">
        <v>416</v>
      </c>
      <c r="C2376" s="337">
        <v>39967</v>
      </c>
      <c r="D2376" s="338" t="s">
        <v>4983</v>
      </c>
      <c r="E2376" s="338" t="s">
        <v>889</v>
      </c>
      <c r="F2376" s="338"/>
      <c r="G2376" s="338" t="s">
        <v>413</v>
      </c>
      <c r="H2376" s="338" t="s">
        <v>425</v>
      </c>
      <c r="I2376" s="338" t="s">
        <v>411</v>
      </c>
      <c r="J2376" s="339"/>
      <c r="K2376" s="339"/>
      <c r="L2376" s="339" t="s">
        <v>409</v>
      </c>
      <c r="M2376" s="339" t="s">
        <v>409</v>
      </c>
      <c r="N2376" s="338"/>
      <c r="O2376" s="338" t="s">
        <v>409</v>
      </c>
      <c r="P2376" s="338" t="s">
        <v>410</v>
      </c>
    </row>
    <row r="2377" spans="2:16" x14ac:dyDescent="0.25">
      <c r="B2377" s="336" t="s">
        <v>459</v>
      </c>
      <c r="C2377" s="337">
        <v>39966</v>
      </c>
      <c r="D2377" s="338" t="s">
        <v>4982</v>
      </c>
      <c r="E2377" s="338" t="s">
        <v>4981</v>
      </c>
      <c r="F2377" s="338"/>
      <c r="G2377" s="338">
        <v>15.5</v>
      </c>
      <c r="H2377" s="338" t="s">
        <v>425</v>
      </c>
      <c r="I2377" s="338" t="s">
        <v>411</v>
      </c>
      <c r="J2377" s="339"/>
      <c r="K2377" s="339"/>
      <c r="L2377" s="339" t="s">
        <v>409</v>
      </c>
      <c r="M2377" s="339" t="s">
        <v>409</v>
      </c>
      <c r="N2377" s="338" t="s">
        <v>417</v>
      </c>
      <c r="O2377" s="338" t="s">
        <v>409</v>
      </c>
      <c r="P2377" s="338" t="s">
        <v>487</v>
      </c>
    </row>
    <row r="2378" spans="2:16" x14ac:dyDescent="0.25">
      <c r="B2378" s="336" t="s">
        <v>416</v>
      </c>
      <c r="C2378" s="337">
        <v>39966</v>
      </c>
      <c r="D2378" s="338" t="s">
        <v>4980</v>
      </c>
      <c r="E2378" s="338" t="s">
        <v>4979</v>
      </c>
      <c r="F2378" s="338"/>
      <c r="G2378" s="338">
        <v>115</v>
      </c>
      <c r="H2378" s="338" t="s">
        <v>418</v>
      </c>
      <c r="I2378" s="338" t="s">
        <v>411</v>
      </c>
      <c r="J2378" s="339"/>
      <c r="K2378" s="339"/>
      <c r="L2378" s="339" t="s">
        <v>409</v>
      </c>
      <c r="M2378" s="339" t="s">
        <v>409</v>
      </c>
      <c r="N2378" s="338" t="s">
        <v>417</v>
      </c>
      <c r="O2378" s="338" t="s">
        <v>409</v>
      </c>
      <c r="P2378" s="338" t="s">
        <v>443</v>
      </c>
    </row>
    <row r="2379" spans="2:16" x14ac:dyDescent="0.25">
      <c r="B2379" s="336" t="s">
        <v>459</v>
      </c>
      <c r="C2379" s="337">
        <v>39965</v>
      </c>
      <c r="D2379" s="338" t="s">
        <v>3335</v>
      </c>
      <c r="E2379" s="338" t="s">
        <v>3334</v>
      </c>
      <c r="F2379" s="338"/>
      <c r="G2379" s="338">
        <v>11</v>
      </c>
      <c r="H2379" s="338" t="s">
        <v>425</v>
      </c>
      <c r="I2379" s="338" t="s">
        <v>411</v>
      </c>
      <c r="J2379" s="339"/>
      <c r="K2379" s="339"/>
      <c r="L2379" s="339" t="s">
        <v>409</v>
      </c>
      <c r="M2379" s="339" t="s">
        <v>409</v>
      </c>
      <c r="N2379" s="338" t="s">
        <v>417</v>
      </c>
      <c r="O2379" s="338" t="s">
        <v>409</v>
      </c>
      <c r="P2379" s="338" t="s">
        <v>443</v>
      </c>
    </row>
    <row r="2380" spans="2:16" x14ac:dyDescent="0.25">
      <c r="B2380" s="336" t="s">
        <v>416</v>
      </c>
      <c r="C2380" s="337">
        <v>39965</v>
      </c>
      <c r="D2380" s="338" t="s">
        <v>4978</v>
      </c>
      <c r="E2380" s="338" t="s">
        <v>944</v>
      </c>
      <c r="F2380" s="338" t="s">
        <v>4446</v>
      </c>
      <c r="G2380" s="338">
        <v>17.7</v>
      </c>
      <c r="H2380" s="338" t="s">
        <v>425</v>
      </c>
      <c r="I2380" s="338" t="s">
        <v>411</v>
      </c>
      <c r="J2380" s="339"/>
      <c r="K2380" s="339"/>
      <c r="L2380" s="339">
        <v>0.29475800000000002</v>
      </c>
      <c r="M2380" s="339"/>
      <c r="N2380" s="338"/>
      <c r="O2380" s="338" t="s">
        <v>417</v>
      </c>
      <c r="P2380" s="338" t="s">
        <v>417</v>
      </c>
    </row>
    <row r="2381" spans="2:16" x14ac:dyDescent="0.25">
      <c r="B2381" s="336" t="s">
        <v>459</v>
      </c>
      <c r="C2381" s="337">
        <v>39965</v>
      </c>
      <c r="D2381" s="338" t="s">
        <v>3724</v>
      </c>
      <c r="E2381" s="338" t="s">
        <v>4977</v>
      </c>
      <c r="F2381" s="338"/>
      <c r="G2381" s="338">
        <v>35</v>
      </c>
      <c r="H2381" s="338" t="s">
        <v>425</v>
      </c>
      <c r="I2381" s="338" t="s">
        <v>411</v>
      </c>
      <c r="J2381" s="339">
        <v>0.879216</v>
      </c>
      <c r="K2381" s="339">
        <v>15.662699999999999</v>
      </c>
      <c r="L2381" s="339" t="s">
        <v>409</v>
      </c>
      <c r="M2381" s="339" t="s">
        <v>409</v>
      </c>
      <c r="N2381" s="338" t="s">
        <v>417</v>
      </c>
      <c r="O2381" s="338" t="s">
        <v>409</v>
      </c>
      <c r="P2381" s="338" t="s">
        <v>443</v>
      </c>
    </row>
    <row r="2382" spans="2:16" x14ac:dyDescent="0.25">
      <c r="B2382" s="336" t="s">
        <v>416</v>
      </c>
      <c r="C2382" s="337">
        <v>39965</v>
      </c>
      <c r="D2382" s="338" t="s">
        <v>945</v>
      </c>
      <c r="E2382" s="338" t="s">
        <v>4976</v>
      </c>
      <c r="F2382" s="338" t="s">
        <v>4975</v>
      </c>
      <c r="G2382" s="338">
        <v>7.3</v>
      </c>
      <c r="H2382" s="338" t="s">
        <v>425</v>
      </c>
      <c r="I2382" s="338" t="s">
        <v>411</v>
      </c>
      <c r="J2382" s="339"/>
      <c r="K2382" s="339"/>
      <c r="L2382" s="339"/>
      <c r="M2382" s="339"/>
      <c r="N2382" s="338"/>
      <c r="O2382" s="338" t="s">
        <v>410</v>
      </c>
      <c r="P2382" s="338" t="s">
        <v>410</v>
      </c>
    </row>
    <row r="2383" spans="2:16" x14ac:dyDescent="0.25">
      <c r="B2383" s="336" t="s">
        <v>416</v>
      </c>
      <c r="C2383" s="337">
        <v>39965</v>
      </c>
      <c r="D2383" s="338" t="s">
        <v>4974</v>
      </c>
      <c r="E2383" s="338" t="s">
        <v>4973</v>
      </c>
      <c r="F2383" s="338" t="s">
        <v>4972</v>
      </c>
      <c r="G2383" s="338" t="s">
        <v>413</v>
      </c>
      <c r="H2383" s="338" t="s">
        <v>425</v>
      </c>
      <c r="I2383" s="338" t="s">
        <v>411</v>
      </c>
      <c r="J2383" s="339"/>
      <c r="K2383" s="339"/>
      <c r="L2383" s="339"/>
      <c r="M2383" s="339"/>
      <c r="N2383" s="338"/>
      <c r="O2383" s="338" t="s">
        <v>543</v>
      </c>
      <c r="P2383" s="338" t="s">
        <v>417</v>
      </c>
    </row>
    <row r="2384" spans="2:16" x14ac:dyDescent="0.25">
      <c r="B2384" s="336" t="s">
        <v>416</v>
      </c>
      <c r="C2384" s="337">
        <v>39961</v>
      </c>
      <c r="D2384" s="338" t="s">
        <v>4971</v>
      </c>
      <c r="E2384" s="338" t="s">
        <v>4970</v>
      </c>
      <c r="F2384" s="338"/>
      <c r="G2384" s="338" t="s">
        <v>413</v>
      </c>
      <c r="H2384" s="338" t="s">
        <v>412</v>
      </c>
      <c r="I2384" s="338" t="s">
        <v>411</v>
      </c>
      <c r="J2384" s="339"/>
      <c r="K2384" s="339"/>
      <c r="L2384" s="339" t="s">
        <v>409</v>
      </c>
      <c r="M2384" s="339" t="s">
        <v>409</v>
      </c>
      <c r="N2384" s="338" t="s">
        <v>487</v>
      </c>
      <c r="O2384" s="338" t="s">
        <v>409</v>
      </c>
      <c r="P2384" s="338" t="s">
        <v>417</v>
      </c>
    </row>
    <row r="2385" spans="2:16" x14ac:dyDescent="0.25">
      <c r="B2385" s="336" t="s">
        <v>416</v>
      </c>
      <c r="C2385" s="337">
        <v>39961</v>
      </c>
      <c r="D2385" s="338" t="s">
        <v>4969</v>
      </c>
      <c r="E2385" s="338" t="s">
        <v>472</v>
      </c>
      <c r="F2385" s="338" t="s">
        <v>3878</v>
      </c>
      <c r="G2385" s="338" t="s">
        <v>413</v>
      </c>
      <c r="H2385" s="338" t="s">
        <v>412</v>
      </c>
      <c r="I2385" s="338" t="s">
        <v>411</v>
      </c>
      <c r="J2385" s="339"/>
      <c r="K2385" s="339"/>
      <c r="L2385" s="339"/>
      <c r="M2385" s="339"/>
      <c r="N2385" s="338" t="s">
        <v>417</v>
      </c>
      <c r="O2385" s="338" t="s">
        <v>443</v>
      </c>
      <c r="P2385" s="338" t="s">
        <v>417</v>
      </c>
    </row>
    <row r="2386" spans="2:16" x14ac:dyDescent="0.25">
      <c r="B2386" s="336" t="s">
        <v>416</v>
      </c>
      <c r="C2386" s="337">
        <v>39961</v>
      </c>
      <c r="D2386" s="338" t="s">
        <v>4968</v>
      </c>
      <c r="E2386" s="338" t="s">
        <v>4967</v>
      </c>
      <c r="F2386" s="338" t="s">
        <v>831</v>
      </c>
      <c r="G2386" s="338" t="s">
        <v>413</v>
      </c>
      <c r="H2386" s="338" t="s">
        <v>425</v>
      </c>
      <c r="I2386" s="338" t="s">
        <v>411</v>
      </c>
      <c r="J2386" s="339"/>
      <c r="K2386" s="339"/>
      <c r="L2386" s="339">
        <v>1.53552</v>
      </c>
      <c r="M2386" s="339">
        <v>11.0791</v>
      </c>
      <c r="N2386" s="338"/>
      <c r="O2386" s="338" t="s">
        <v>417</v>
      </c>
      <c r="P2386" s="338" t="s">
        <v>443</v>
      </c>
    </row>
    <row r="2387" spans="2:16" x14ac:dyDescent="0.25">
      <c r="B2387" s="336" t="s">
        <v>416</v>
      </c>
      <c r="C2387" s="337">
        <v>39961</v>
      </c>
      <c r="D2387" s="338" t="s">
        <v>4762</v>
      </c>
      <c r="E2387" s="338" t="s">
        <v>4966</v>
      </c>
      <c r="F2387" s="338" t="s">
        <v>1203</v>
      </c>
      <c r="G2387" s="338">
        <v>123</v>
      </c>
      <c r="H2387" s="338" t="s">
        <v>425</v>
      </c>
      <c r="I2387" s="338" t="s">
        <v>411</v>
      </c>
      <c r="J2387" s="339"/>
      <c r="K2387" s="339"/>
      <c r="L2387" s="339">
        <v>1.88785</v>
      </c>
      <c r="M2387" s="339">
        <v>4.0728</v>
      </c>
      <c r="N2387" s="338"/>
      <c r="O2387" s="338" t="s">
        <v>417</v>
      </c>
      <c r="P2387" s="338" t="s">
        <v>443</v>
      </c>
    </row>
    <row r="2388" spans="2:16" x14ac:dyDescent="0.25">
      <c r="B2388" s="336" t="s">
        <v>416</v>
      </c>
      <c r="C2388" s="337">
        <v>39960</v>
      </c>
      <c r="D2388" s="338" t="s">
        <v>956</v>
      </c>
      <c r="E2388" s="338" t="s">
        <v>4965</v>
      </c>
      <c r="F2388" s="338" t="s">
        <v>4964</v>
      </c>
      <c r="G2388" s="338">
        <v>72</v>
      </c>
      <c r="H2388" s="338" t="s">
        <v>425</v>
      </c>
      <c r="I2388" s="338" t="s">
        <v>411</v>
      </c>
      <c r="J2388" s="339"/>
      <c r="K2388" s="339"/>
      <c r="L2388" s="339"/>
      <c r="M2388" s="339"/>
      <c r="N2388" s="338"/>
      <c r="O2388" s="338" t="s">
        <v>417</v>
      </c>
      <c r="P2388" s="338" t="s">
        <v>417</v>
      </c>
    </row>
    <row r="2389" spans="2:16" x14ac:dyDescent="0.25">
      <c r="B2389" s="336" t="s">
        <v>459</v>
      </c>
      <c r="C2389" s="337">
        <v>39957</v>
      </c>
      <c r="D2389" s="338" t="s">
        <v>4963</v>
      </c>
      <c r="E2389" s="338" t="s">
        <v>514</v>
      </c>
      <c r="F2389" s="338"/>
      <c r="G2389" s="338" t="s">
        <v>413</v>
      </c>
      <c r="H2389" s="338" t="s">
        <v>412</v>
      </c>
      <c r="I2389" s="338" t="s">
        <v>411</v>
      </c>
      <c r="J2389" s="339"/>
      <c r="K2389" s="339"/>
      <c r="L2389" s="339" t="s">
        <v>409</v>
      </c>
      <c r="M2389" s="339" t="s">
        <v>409</v>
      </c>
      <c r="N2389" s="338" t="s">
        <v>417</v>
      </c>
      <c r="O2389" s="338" t="s">
        <v>409</v>
      </c>
      <c r="P2389" s="338"/>
    </row>
    <row r="2390" spans="2:16" x14ac:dyDescent="0.25">
      <c r="B2390" s="336" t="s">
        <v>416</v>
      </c>
      <c r="C2390" s="337">
        <v>39954</v>
      </c>
      <c r="D2390" s="338" t="s">
        <v>4962</v>
      </c>
      <c r="E2390" s="338" t="s">
        <v>3441</v>
      </c>
      <c r="F2390" s="338"/>
      <c r="G2390" s="338" t="s">
        <v>413</v>
      </c>
      <c r="H2390" s="338" t="s">
        <v>412</v>
      </c>
      <c r="I2390" s="338" t="s">
        <v>411</v>
      </c>
      <c r="J2390" s="339"/>
      <c r="K2390" s="339"/>
      <c r="L2390" s="339" t="s">
        <v>409</v>
      </c>
      <c r="M2390" s="339" t="s">
        <v>409</v>
      </c>
      <c r="N2390" s="338" t="s">
        <v>417</v>
      </c>
      <c r="O2390" s="338" t="s">
        <v>409</v>
      </c>
      <c r="P2390" s="338" t="s">
        <v>417</v>
      </c>
    </row>
    <row r="2391" spans="2:16" x14ac:dyDescent="0.25">
      <c r="B2391" s="336" t="s">
        <v>416</v>
      </c>
      <c r="C2391" s="337">
        <v>39953</v>
      </c>
      <c r="D2391" s="338" t="s">
        <v>552</v>
      </c>
      <c r="E2391" s="338" t="s">
        <v>4961</v>
      </c>
      <c r="F2391" s="338" t="s">
        <v>4813</v>
      </c>
      <c r="G2391" s="338" t="s">
        <v>413</v>
      </c>
      <c r="H2391" s="338" t="s">
        <v>425</v>
      </c>
      <c r="I2391" s="338" t="s">
        <v>411</v>
      </c>
      <c r="J2391" s="339"/>
      <c r="K2391" s="339"/>
      <c r="L2391" s="339"/>
      <c r="M2391" s="339"/>
      <c r="N2391" s="338"/>
      <c r="O2391" s="338" t="s">
        <v>417</v>
      </c>
      <c r="P2391" s="338" t="s">
        <v>417</v>
      </c>
    </row>
    <row r="2392" spans="2:16" x14ac:dyDescent="0.25">
      <c r="B2392" s="336" t="s">
        <v>416</v>
      </c>
      <c r="C2392" s="337">
        <v>39951</v>
      </c>
      <c r="D2392" s="338" t="s">
        <v>4960</v>
      </c>
      <c r="E2392" s="338" t="s">
        <v>4959</v>
      </c>
      <c r="F2392" s="338"/>
      <c r="G2392" s="338">
        <v>7.2</v>
      </c>
      <c r="H2392" s="338" t="s">
        <v>425</v>
      </c>
      <c r="I2392" s="338" t="s">
        <v>411</v>
      </c>
      <c r="J2392" s="339"/>
      <c r="K2392" s="339"/>
      <c r="L2392" s="339" t="s">
        <v>409</v>
      </c>
      <c r="M2392" s="339" t="s">
        <v>409</v>
      </c>
      <c r="N2392" s="338" t="s">
        <v>410</v>
      </c>
      <c r="O2392" s="338" t="s">
        <v>409</v>
      </c>
      <c r="P2392" s="338" t="s">
        <v>417</v>
      </c>
    </row>
    <row r="2393" spans="2:16" x14ac:dyDescent="0.25">
      <c r="B2393" s="336" t="s">
        <v>459</v>
      </c>
      <c r="C2393" s="337">
        <v>39948</v>
      </c>
      <c r="D2393" s="338" t="s">
        <v>4958</v>
      </c>
      <c r="E2393" s="338" t="s">
        <v>4957</v>
      </c>
      <c r="F2393" s="338"/>
      <c r="G2393" s="338" t="s">
        <v>413</v>
      </c>
      <c r="H2393" s="338" t="s">
        <v>425</v>
      </c>
      <c r="I2393" s="338" t="s">
        <v>411</v>
      </c>
      <c r="J2393" s="339"/>
      <c r="K2393" s="339"/>
      <c r="L2393" s="339" t="s">
        <v>409</v>
      </c>
      <c r="M2393" s="339" t="s">
        <v>409</v>
      </c>
      <c r="N2393" s="338" t="s">
        <v>417</v>
      </c>
      <c r="O2393" s="338" t="s">
        <v>409</v>
      </c>
      <c r="P2393" s="338" t="s">
        <v>443</v>
      </c>
    </row>
    <row r="2394" spans="2:16" x14ac:dyDescent="0.25">
      <c r="B2394" s="336" t="s">
        <v>416</v>
      </c>
      <c r="C2394" s="337">
        <v>39947</v>
      </c>
      <c r="D2394" s="338" t="s">
        <v>4956</v>
      </c>
      <c r="E2394" s="338" t="s">
        <v>4953</v>
      </c>
      <c r="F2394" s="338" t="s">
        <v>4954</v>
      </c>
      <c r="G2394" s="338">
        <v>0.5</v>
      </c>
      <c r="H2394" s="338" t="s">
        <v>425</v>
      </c>
      <c r="I2394" s="338" t="s">
        <v>411</v>
      </c>
      <c r="J2394" s="339"/>
      <c r="K2394" s="339"/>
      <c r="L2394" s="339"/>
      <c r="M2394" s="339"/>
      <c r="N2394" s="338"/>
      <c r="O2394" s="338" t="s">
        <v>417</v>
      </c>
      <c r="P2394" s="338" t="s">
        <v>417</v>
      </c>
    </row>
    <row r="2395" spans="2:16" x14ac:dyDescent="0.25">
      <c r="B2395" s="336" t="s">
        <v>416</v>
      </c>
      <c r="C2395" s="337">
        <v>39947</v>
      </c>
      <c r="D2395" s="338" t="s">
        <v>4955</v>
      </c>
      <c r="E2395" s="338" t="s">
        <v>1322</v>
      </c>
      <c r="F2395" s="338"/>
      <c r="G2395" s="338" t="s">
        <v>413</v>
      </c>
      <c r="H2395" s="338" t="s">
        <v>425</v>
      </c>
      <c r="I2395" s="338" t="s">
        <v>411</v>
      </c>
      <c r="J2395" s="339"/>
      <c r="K2395" s="339"/>
      <c r="L2395" s="339" t="s">
        <v>409</v>
      </c>
      <c r="M2395" s="339" t="s">
        <v>409</v>
      </c>
      <c r="N2395" s="338"/>
      <c r="O2395" s="338" t="s">
        <v>409</v>
      </c>
      <c r="P2395" s="338" t="s">
        <v>417</v>
      </c>
    </row>
    <row r="2396" spans="2:16" x14ac:dyDescent="0.25">
      <c r="B2396" s="336" t="s">
        <v>416</v>
      </c>
      <c r="C2396" s="337">
        <v>39947</v>
      </c>
      <c r="D2396" s="338" t="s">
        <v>4954</v>
      </c>
      <c r="E2396" s="338" t="s">
        <v>4953</v>
      </c>
      <c r="F2396" s="338" t="s">
        <v>4952</v>
      </c>
      <c r="G2396" s="338" t="s">
        <v>413</v>
      </c>
      <c r="H2396" s="338" t="s">
        <v>425</v>
      </c>
      <c r="I2396" s="338" t="s">
        <v>411</v>
      </c>
      <c r="J2396" s="339"/>
      <c r="K2396" s="339"/>
      <c r="L2396" s="339"/>
      <c r="M2396" s="339"/>
      <c r="N2396" s="338" t="s">
        <v>417</v>
      </c>
      <c r="O2396" s="338" t="s">
        <v>417</v>
      </c>
      <c r="P2396" s="338" t="s">
        <v>417</v>
      </c>
    </row>
    <row r="2397" spans="2:16" x14ac:dyDescent="0.25">
      <c r="B2397" s="336" t="s">
        <v>459</v>
      </c>
      <c r="C2397" s="337">
        <v>39947</v>
      </c>
      <c r="D2397" s="338" t="s">
        <v>4951</v>
      </c>
      <c r="E2397" s="338" t="s">
        <v>4950</v>
      </c>
      <c r="F2397" s="338"/>
      <c r="G2397" s="338" t="s">
        <v>413</v>
      </c>
      <c r="H2397" s="338" t="s">
        <v>412</v>
      </c>
      <c r="I2397" s="338" t="s">
        <v>411</v>
      </c>
      <c r="J2397" s="339"/>
      <c r="K2397" s="339"/>
      <c r="L2397" s="339" t="s">
        <v>409</v>
      </c>
      <c r="M2397" s="339" t="s">
        <v>409</v>
      </c>
      <c r="N2397" s="338" t="s">
        <v>417</v>
      </c>
      <c r="O2397" s="338" t="s">
        <v>409</v>
      </c>
      <c r="P2397" s="338" t="s">
        <v>605</v>
      </c>
    </row>
    <row r="2398" spans="2:16" x14ac:dyDescent="0.25">
      <c r="B2398" s="336" t="s">
        <v>416</v>
      </c>
      <c r="C2398" s="337">
        <v>39946</v>
      </c>
      <c r="D2398" s="338" t="s">
        <v>3864</v>
      </c>
      <c r="E2398" s="338" t="s">
        <v>4949</v>
      </c>
      <c r="F2398" s="338"/>
      <c r="G2398" s="338" t="s">
        <v>413</v>
      </c>
      <c r="H2398" s="338" t="s">
        <v>412</v>
      </c>
      <c r="I2398" s="338" t="s">
        <v>411</v>
      </c>
      <c r="J2398" s="339">
        <v>0.90106399999999998</v>
      </c>
      <c r="K2398" s="339">
        <v>10.055099999999999</v>
      </c>
      <c r="L2398" s="339" t="s">
        <v>409</v>
      </c>
      <c r="M2398" s="339" t="s">
        <v>409</v>
      </c>
      <c r="N2398" s="338" t="s">
        <v>410</v>
      </c>
      <c r="O2398" s="338" t="s">
        <v>409</v>
      </c>
      <c r="P2398" s="338" t="s">
        <v>410</v>
      </c>
    </row>
    <row r="2399" spans="2:16" x14ac:dyDescent="0.25">
      <c r="B2399" s="336" t="s">
        <v>416</v>
      </c>
      <c r="C2399" s="337">
        <v>39941</v>
      </c>
      <c r="D2399" s="338" t="s">
        <v>4948</v>
      </c>
      <c r="E2399" s="338" t="s">
        <v>1619</v>
      </c>
      <c r="F2399" s="338"/>
      <c r="G2399" s="338" t="s">
        <v>413</v>
      </c>
      <c r="H2399" s="338" t="s">
        <v>425</v>
      </c>
      <c r="I2399" s="338" t="s">
        <v>411</v>
      </c>
      <c r="J2399" s="339"/>
      <c r="K2399" s="339"/>
      <c r="L2399" s="339" t="s">
        <v>409</v>
      </c>
      <c r="M2399" s="339" t="s">
        <v>409</v>
      </c>
      <c r="N2399" s="338"/>
      <c r="O2399" s="338" t="s">
        <v>409</v>
      </c>
      <c r="P2399" s="338" t="s">
        <v>417</v>
      </c>
    </row>
    <row r="2400" spans="2:16" x14ac:dyDescent="0.25">
      <c r="B2400" s="336" t="s">
        <v>416</v>
      </c>
      <c r="C2400" s="337">
        <v>39941</v>
      </c>
      <c r="D2400" s="338" t="s">
        <v>4947</v>
      </c>
      <c r="E2400" s="338" t="s">
        <v>514</v>
      </c>
      <c r="F2400" s="338"/>
      <c r="G2400" s="338" t="s">
        <v>413</v>
      </c>
      <c r="H2400" s="338" t="s">
        <v>412</v>
      </c>
      <c r="I2400" s="338" t="s">
        <v>411</v>
      </c>
      <c r="J2400" s="339"/>
      <c r="K2400" s="339"/>
      <c r="L2400" s="339" t="s">
        <v>409</v>
      </c>
      <c r="M2400" s="339" t="s">
        <v>409</v>
      </c>
      <c r="N2400" s="338"/>
      <c r="O2400" s="338" t="s">
        <v>409</v>
      </c>
      <c r="P2400" s="338"/>
    </row>
    <row r="2401" spans="2:16" x14ac:dyDescent="0.25">
      <c r="B2401" s="336" t="s">
        <v>416</v>
      </c>
      <c r="C2401" s="337">
        <v>39940</v>
      </c>
      <c r="D2401" s="338" t="s">
        <v>945</v>
      </c>
      <c r="E2401" s="338" t="s">
        <v>4946</v>
      </c>
      <c r="F2401" s="338" t="s">
        <v>4945</v>
      </c>
      <c r="G2401" s="338" t="s">
        <v>413</v>
      </c>
      <c r="H2401" s="338" t="s">
        <v>425</v>
      </c>
      <c r="I2401" s="338" t="s">
        <v>411</v>
      </c>
      <c r="J2401" s="339"/>
      <c r="K2401" s="339"/>
      <c r="L2401" s="339"/>
      <c r="M2401" s="339"/>
      <c r="N2401" s="338"/>
      <c r="O2401" s="338" t="s">
        <v>417</v>
      </c>
      <c r="P2401" s="338" t="s">
        <v>417</v>
      </c>
    </row>
    <row r="2402" spans="2:16" x14ac:dyDescent="0.25">
      <c r="B2402" s="336" t="s">
        <v>416</v>
      </c>
      <c r="C2402" s="337">
        <v>39938</v>
      </c>
      <c r="D2402" s="338" t="s">
        <v>4944</v>
      </c>
      <c r="E2402" s="338" t="s">
        <v>842</v>
      </c>
      <c r="F2402" s="338"/>
      <c r="G2402" s="338" t="s">
        <v>413</v>
      </c>
      <c r="H2402" s="338" t="s">
        <v>425</v>
      </c>
      <c r="I2402" s="338" t="s">
        <v>411</v>
      </c>
      <c r="J2402" s="339"/>
      <c r="K2402" s="339"/>
      <c r="L2402" s="339" t="s">
        <v>409</v>
      </c>
      <c r="M2402" s="339" t="s">
        <v>409</v>
      </c>
      <c r="N2402" s="338" t="s">
        <v>410</v>
      </c>
      <c r="O2402" s="338" t="s">
        <v>409</v>
      </c>
      <c r="P2402" s="338" t="s">
        <v>487</v>
      </c>
    </row>
    <row r="2403" spans="2:16" x14ac:dyDescent="0.25">
      <c r="B2403" s="336" t="s">
        <v>416</v>
      </c>
      <c r="C2403" s="337">
        <v>39938</v>
      </c>
      <c r="D2403" s="338" t="s">
        <v>956</v>
      </c>
      <c r="E2403" s="338" t="s">
        <v>1619</v>
      </c>
      <c r="F2403" s="338" t="s">
        <v>4943</v>
      </c>
      <c r="G2403" s="338" t="s">
        <v>413</v>
      </c>
      <c r="H2403" s="338" t="s">
        <v>425</v>
      </c>
      <c r="I2403" s="338" t="s">
        <v>411</v>
      </c>
      <c r="J2403" s="339"/>
      <c r="K2403" s="339"/>
      <c r="L2403" s="339">
        <v>2.9476900000000001</v>
      </c>
      <c r="M2403" s="339">
        <v>11.936299999999999</v>
      </c>
      <c r="N2403" s="338"/>
      <c r="O2403" s="338" t="s">
        <v>482</v>
      </c>
      <c r="P2403" s="338" t="s">
        <v>417</v>
      </c>
    </row>
    <row r="2404" spans="2:16" x14ac:dyDescent="0.25">
      <c r="B2404" s="336" t="s">
        <v>459</v>
      </c>
      <c r="C2404" s="337">
        <v>39937</v>
      </c>
      <c r="D2404" s="338" t="s">
        <v>4942</v>
      </c>
      <c r="E2404" s="338" t="s">
        <v>2816</v>
      </c>
      <c r="F2404" s="338"/>
      <c r="G2404" s="338" t="s">
        <v>413</v>
      </c>
      <c r="H2404" s="338" t="s">
        <v>412</v>
      </c>
      <c r="I2404" s="338" t="s">
        <v>411</v>
      </c>
      <c r="J2404" s="339"/>
      <c r="K2404" s="339"/>
      <c r="L2404" s="339" t="s">
        <v>409</v>
      </c>
      <c r="M2404" s="339" t="s">
        <v>409</v>
      </c>
      <c r="N2404" s="338" t="s">
        <v>443</v>
      </c>
      <c r="O2404" s="338" t="s">
        <v>409</v>
      </c>
      <c r="P2404" s="338" t="s">
        <v>417</v>
      </c>
    </row>
    <row r="2405" spans="2:16" x14ac:dyDescent="0.25">
      <c r="B2405" s="336" t="s">
        <v>416</v>
      </c>
      <c r="C2405" s="337">
        <v>39937</v>
      </c>
      <c r="D2405" s="338" t="s">
        <v>4941</v>
      </c>
      <c r="E2405" s="338" t="s">
        <v>4940</v>
      </c>
      <c r="F2405" s="338" t="s">
        <v>4060</v>
      </c>
      <c r="G2405" s="338">
        <v>22</v>
      </c>
      <c r="H2405" s="338" t="s">
        <v>425</v>
      </c>
      <c r="I2405" s="338" t="s">
        <v>411</v>
      </c>
      <c r="J2405" s="339"/>
      <c r="K2405" s="339"/>
      <c r="L2405" s="339">
        <v>0.43315599999999999</v>
      </c>
      <c r="M2405" s="339">
        <v>3.6236999999999999</v>
      </c>
      <c r="N2405" s="338"/>
      <c r="O2405" s="338" t="s">
        <v>417</v>
      </c>
      <c r="P2405" s="338"/>
    </row>
    <row r="2406" spans="2:16" x14ac:dyDescent="0.25">
      <c r="B2406" s="336" t="s">
        <v>416</v>
      </c>
      <c r="C2406" s="337">
        <v>39934</v>
      </c>
      <c r="D2406" s="338" t="s">
        <v>4939</v>
      </c>
      <c r="E2406" s="338" t="s">
        <v>3967</v>
      </c>
      <c r="F2406" s="338" t="s">
        <v>4938</v>
      </c>
      <c r="G2406" s="338">
        <v>300</v>
      </c>
      <c r="H2406" s="338" t="s">
        <v>425</v>
      </c>
      <c r="I2406" s="338" t="s">
        <v>411</v>
      </c>
      <c r="J2406" s="339"/>
      <c r="K2406" s="339"/>
      <c r="L2406" s="339">
        <v>1.2696000000000001</v>
      </c>
      <c r="M2406" s="339">
        <v>7.89201</v>
      </c>
      <c r="N2406" s="338"/>
      <c r="O2406" s="338" t="s">
        <v>417</v>
      </c>
      <c r="P2406" s="338" t="s">
        <v>432</v>
      </c>
    </row>
    <row r="2407" spans="2:16" x14ac:dyDescent="0.25">
      <c r="B2407" s="336" t="s">
        <v>416</v>
      </c>
      <c r="C2407" s="337">
        <v>39934</v>
      </c>
      <c r="D2407" s="338" t="s">
        <v>4937</v>
      </c>
      <c r="E2407" s="338" t="s">
        <v>3165</v>
      </c>
      <c r="F2407" s="338"/>
      <c r="G2407" s="338" t="s">
        <v>413</v>
      </c>
      <c r="H2407" s="338" t="s">
        <v>412</v>
      </c>
      <c r="I2407" s="338" t="s">
        <v>411</v>
      </c>
      <c r="J2407" s="339"/>
      <c r="K2407" s="339"/>
      <c r="L2407" s="339" t="s">
        <v>409</v>
      </c>
      <c r="M2407" s="339" t="s">
        <v>409</v>
      </c>
      <c r="N2407" s="338" t="s">
        <v>432</v>
      </c>
      <c r="O2407" s="338" t="s">
        <v>409</v>
      </c>
      <c r="P2407" s="338" t="s">
        <v>417</v>
      </c>
    </row>
    <row r="2408" spans="2:16" x14ac:dyDescent="0.25">
      <c r="B2408" s="336" t="s">
        <v>416</v>
      </c>
      <c r="C2408" s="337">
        <v>39934</v>
      </c>
      <c r="D2408" s="338" t="s">
        <v>4936</v>
      </c>
      <c r="E2408" s="338" t="s">
        <v>1574</v>
      </c>
      <c r="F2408" s="338" t="s">
        <v>1065</v>
      </c>
      <c r="G2408" s="338" t="s">
        <v>413</v>
      </c>
      <c r="H2408" s="338" t="s">
        <v>412</v>
      </c>
      <c r="I2408" s="338" t="s">
        <v>411</v>
      </c>
      <c r="J2408" s="339"/>
      <c r="K2408" s="339"/>
      <c r="L2408" s="339">
        <v>1.4101900000000001</v>
      </c>
      <c r="M2408" s="339">
        <v>14.636200000000001</v>
      </c>
      <c r="N2408" s="338" t="s">
        <v>410</v>
      </c>
      <c r="O2408" s="338" t="s">
        <v>487</v>
      </c>
      <c r="P2408" s="338" t="s">
        <v>417</v>
      </c>
    </row>
    <row r="2409" spans="2:16" x14ac:dyDescent="0.25">
      <c r="B2409" s="336" t="s">
        <v>416</v>
      </c>
      <c r="C2409" s="337">
        <v>39933</v>
      </c>
      <c r="D2409" s="338" t="s">
        <v>4935</v>
      </c>
      <c r="E2409" s="338" t="s">
        <v>1857</v>
      </c>
      <c r="F2409" s="338"/>
      <c r="G2409" s="338" t="s">
        <v>413</v>
      </c>
      <c r="H2409" s="338" t="s">
        <v>425</v>
      </c>
      <c r="I2409" s="338" t="s">
        <v>411</v>
      </c>
      <c r="J2409" s="339"/>
      <c r="K2409" s="339"/>
      <c r="L2409" s="339" t="s">
        <v>409</v>
      </c>
      <c r="M2409" s="339" t="s">
        <v>409</v>
      </c>
      <c r="N2409" s="338" t="s">
        <v>543</v>
      </c>
      <c r="O2409" s="338" t="s">
        <v>409</v>
      </c>
      <c r="P2409" s="338" t="s">
        <v>443</v>
      </c>
    </row>
    <row r="2410" spans="2:16" x14ac:dyDescent="0.25">
      <c r="B2410" s="336" t="s">
        <v>416</v>
      </c>
      <c r="C2410" s="337">
        <v>39932</v>
      </c>
      <c r="D2410" s="338" t="s">
        <v>4934</v>
      </c>
      <c r="E2410" s="338" t="s">
        <v>675</v>
      </c>
      <c r="F2410" s="338"/>
      <c r="G2410" s="338" t="s">
        <v>413</v>
      </c>
      <c r="H2410" s="338" t="s">
        <v>412</v>
      </c>
      <c r="I2410" s="338" t="s">
        <v>411</v>
      </c>
      <c r="J2410" s="339"/>
      <c r="K2410" s="339"/>
      <c r="L2410" s="339" t="s">
        <v>409</v>
      </c>
      <c r="M2410" s="339" t="s">
        <v>409</v>
      </c>
      <c r="N2410" s="338" t="s">
        <v>417</v>
      </c>
      <c r="O2410" s="338" t="s">
        <v>409</v>
      </c>
      <c r="P2410" s="338" t="s">
        <v>432</v>
      </c>
    </row>
    <row r="2411" spans="2:16" x14ac:dyDescent="0.25">
      <c r="B2411" s="336" t="s">
        <v>416</v>
      </c>
      <c r="C2411" s="337">
        <v>39932</v>
      </c>
      <c r="D2411" s="338" t="s">
        <v>4933</v>
      </c>
      <c r="E2411" s="338" t="s">
        <v>2816</v>
      </c>
      <c r="F2411" s="338"/>
      <c r="G2411" s="338" t="s">
        <v>413</v>
      </c>
      <c r="H2411" s="338" t="s">
        <v>336</v>
      </c>
      <c r="I2411" s="338" t="s">
        <v>411</v>
      </c>
      <c r="J2411" s="339"/>
      <c r="K2411" s="339"/>
      <c r="L2411" s="339" t="s">
        <v>409</v>
      </c>
      <c r="M2411" s="339" t="s">
        <v>409</v>
      </c>
      <c r="N2411" s="338" t="s">
        <v>432</v>
      </c>
      <c r="O2411" s="338" t="s">
        <v>409</v>
      </c>
      <c r="P2411" s="338" t="s">
        <v>417</v>
      </c>
    </row>
    <row r="2412" spans="2:16" x14ac:dyDescent="0.25">
      <c r="B2412" s="336" t="s">
        <v>459</v>
      </c>
      <c r="C2412" s="337">
        <v>39932</v>
      </c>
      <c r="D2412" s="338" t="s">
        <v>4932</v>
      </c>
      <c r="E2412" s="338" t="s">
        <v>1857</v>
      </c>
      <c r="F2412" s="338"/>
      <c r="G2412" s="338" t="s">
        <v>413</v>
      </c>
      <c r="H2412" s="338" t="s">
        <v>418</v>
      </c>
      <c r="I2412" s="338" t="s">
        <v>411</v>
      </c>
      <c r="J2412" s="339"/>
      <c r="K2412" s="339"/>
      <c r="L2412" s="339" t="s">
        <v>409</v>
      </c>
      <c r="M2412" s="339" t="s">
        <v>409</v>
      </c>
      <c r="N2412" s="338" t="s">
        <v>417</v>
      </c>
      <c r="O2412" s="338" t="s">
        <v>409</v>
      </c>
      <c r="P2412" s="338" t="s">
        <v>443</v>
      </c>
    </row>
    <row r="2413" spans="2:16" x14ac:dyDescent="0.25">
      <c r="B2413" s="336" t="s">
        <v>459</v>
      </c>
      <c r="C2413" s="337">
        <v>39931</v>
      </c>
      <c r="D2413" s="338" t="s">
        <v>1999</v>
      </c>
      <c r="E2413" s="338" t="s">
        <v>669</v>
      </c>
      <c r="F2413" s="338"/>
      <c r="G2413" s="338" t="s">
        <v>413</v>
      </c>
      <c r="H2413" s="338" t="s">
        <v>412</v>
      </c>
      <c r="I2413" s="338" t="s">
        <v>411</v>
      </c>
      <c r="J2413" s="339"/>
      <c r="K2413" s="339"/>
      <c r="L2413" s="339" t="s">
        <v>409</v>
      </c>
      <c r="M2413" s="339" t="s">
        <v>409</v>
      </c>
      <c r="N2413" s="338" t="s">
        <v>410</v>
      </c>
      <c r="O2413" s="338" t="s">
        <v>409</v>
      </c>
      <c r="P2413" s="338"/>
    </row>
    <row r="2414" spans="2:16" x14ac:dyDescent="0.25">
      <c r="B2414" s="336" t="s">
        <v>416</v>
      </c>
      <c r="C2414" s="337">
        <v>39931</v>
      </c>
      <c r="D2414" s="338" t="s">
        <v>956</v>
      </c>
      <c r="E2414" s="338" t="s">
        <v>1619</v>
      </c>
      <c r="F2414" s="338" t="s">
        <v>468</v>
      </c>
      <c r="G2414" s="338">
        <v>56</v>
      </c>
      <c r="H2414" s="338" t="s">
        <v>425</v>
      </c>
      <c r="I2414" s="338" t="s">
        <v>411</v>
      </c>
      <c r="J2414" s="339"/>
      <c r="K2414" s="339"/>
      <c r="L2414" s="339"/>
      <c r="M2414" s="339"/>
      <c r="N2414" s="338"/>
      <c r="O2414" s="338" t="s">
        <v>443</v>
      </c>
      <c r="P2414" s="338" t="s">
        <v>417</v>
      </c>
    </row>
    <row r="2415" spans="2:16" x14ac:dyDescent="0.25">
      <c r="B2415" s="336" t="s">
        <v>416</v>
      </c>
      <c r="C2415" s="337">
        <v>39931</v>
      </c>
      <c r="D2415" s="338" t="s">
        <v>4931</v>
      </c>
      <c r="E2415" s="338" t="s">
        <v>4930</v>
      </c>
      <c r="F2415" s="338" t="s">
        <v>1249</v>
      </c>
      <c r="G2415" s="338" t="s">
        <v>413</v>
      </c>
      <c r="H2415" s="338" t="s">
        <v>425</v>
      </c>
      <c r="I2415" s="338" t="s">
        <v>411</v>
      </c>
      <c r="J2415" s="339"/>
      <c r="K2415" s="339"/>
      <c r="L2415" s="339">
        <v>1.74013</v>
      </c>
      <c r="M2415" s="339">
        <v>11.651400000000001</v>
      </c>
      <c r="N2415" s="338"/>
      <c r="O2415" s="338" t="s">
        <v>417</v>
      </c>
      <c r="P2415" s="338" t="s">
        <v>417</v>
      </c>
    </row>
    <row r="2416" spans="2:16" x14ac:dyDescent="0.25">
      <c r="B2416" s="336" t="s">
        <v>416</v>
      </c>
      <c r="C2416" s="337">
        <v>39931</v>
      </c>
      <c r="D2416" s="338" t="s">
        <v>4929</v>
      </c>
      <c r="E2416" s="338" t="s">
        <v>441</v>
      </c>
      <c r="F2416" s="338" t="s">
        <v>4928</v>
      </c>
      <c r="G2416" s="338" t="s">
        <v>413</v>
      </c>
      <c r="H2416" s="338" t="s">
        <v>425</v>
      </c>
      <c r="I2416" s="338" t="s">
        <v>411</v>
      </c>
      <c r="J2416" s="339"/>
      <c r="K2416" s="339"/>
      <c r="L2416" s="339">
        <v>1.1862999999999999</v>
      </c>
      <c r="M2416" s="339">
        <v>8.0235699999999994</v>
      </c>
      <c r="N2416" s="338"/>
      <c r="O2416" s="338" t="s">
        <v>408</v>
      </c>
      <c r="P2416" s="338" t="s">
        <v>417</v>
      </c>
    </row>
    <row r="2417" spans="2:16" x14ac:dyDescent="0.25">
      <c r="B2417" s="336" t="s">
        <v>416</v>
      </c>
      <c r="C2417" s="337">
        <v>39930</v>
      </c>
      <c r="D2417" s="338" t="s">
        <v>4927</v>
      </c>
      <c r="E2417" s="338" t="s">
        <v>4926</v>
      </c>
      <c r="F2417" s="338" t="s">
        <v>1301</v>
      </c>
      <c r="G2417" s="338">
        <v>23.7</v>
      </c>
      <c r="H2417" s="338" t="s">
        <v>425</v>
      </c>
      <c r="I2417" s="338" t="s">
        <v>411</v>
      </c>
      <c r="J2417" s="339">
        <v>0.990371</v>
      </c>
      <c r="K2417" s="339"/>
      <c r="L2417" s="339">
        <v>0.64332500000000004</v>
      </c>
      <c r="M2417" s="339">
        <v>44.3489</v>
      </c>
      <c r="N2417" s="338" t="s">
        <v>410</v>
      </c>
      <c r="O2417" s="338" t="s">
        <v>417</v>
      </c>
      <c r="P2417" s="338" t="s">
        <v>443</v>
      </c>
    </row>
    <row r="2418" spans="2:16" x14ac:dyDescent="0.25">
      <c r="B2418" s="336" t="s">
        <v>459</v>
      </c>
      <c r="C2418" s="337">
        <v>39925</v>
      </c>
      <c r="D2418" s="338" t="s">
        <v>1099</v>
      </c>
      <c r="E2418" s="338" t="s">
        <v>4925</v>
      </c>
      <c r="F2418" s="338"/>
      <c r="G2418" s="338">
        <v>4</v>
      </c>
      <c r="H2418" s="338" t="s">
        <v>425</v>
      </c>
      <c r="I2418" s="338" t="s">
        <v>411</v>
      </c>
      <c r="J2418" s="339"/>
      <c r="K2418" s="339"/>
      <c r="L2418" s="339" t="s">
        <v>409</v>
      </c>
      <c r="M2418" s="339" t="s">
        <v>409</v>
      </c>
      <c r="N2418" s="338" t="s">
        <v>410</v>
      </c>
      <c r="O2418" s="338" t="s">
        <v>409</v>
      </c>
      <c r="P2418" s="338" t="s">
        <v>443</v>
      </c>
    </row>
    <row r="2419" spans="2:16" x14ac:dyDescent="0.25">
      <c r="B2419" s="336" t="s">
        <v>416</v>
      </c>
      <c r="C2419" s="337">
        <v>39924</v>
      </c>
      <c r="D2419" s="338" t="s">
        <v>4924</v>
      </c>
      <c r="E2419" s="338" t="s">
        <v>4923</v>
      </c>
      <c r="F2419" s="338" t="s">
        <v>1906</v>
      </c>
      <c r="G2419" s="338" t="s">
        <v>413</v>
      </c>
      <c r="H2419" s="338" t="s">
        <v>336</v>
      </c>
      <c r="I2419" s="338" t="s">
        <v>411</v>
      </c>
      <c r="J2419" s="339"/>
      <c r="K2419" s="339"/>
      <c r="L2419" s="339">
        <v>1.38887</v>
      </c>
      <c r="M2419" s="339">
        <v>7.5744199999999999</v>
      </c>
      <c r="N2419" s="338"/>
      <c r="O2419" s="338" t="s">
        <v>417</v>
      </c>
      <c r="P2419" s="338" t="s">
        <v>417</v>
      </c>
    </row>
    <row r="2420" spans="2:16" x14ac:dyDescent="0.25">
      <c r="B2420" s="336" t="s">
        <v>416</v>
      </c>
      <c r="C2420" s="337">
        <v>39924</v>
      </c>
      <c r="D2420" s="338" t="s">
        <v>4922</v>
      </c>
      <c r="E2420" s="338" t="s">
        <v>4921</v>
      </c>
      <c r="F2420" s="338"/>
      <c r="G2420" s="338" t="s">
        <v>413</v>
      </c>
      <c r="H2420" s="338" t="s">
        <v>412</v>
      </c>
      <c r="I2420" s="338" t="s">
        <v>411</v>
      </c>
      <c r="J2420" s="339"/>
      <c r="K2420" s="339"/>
      <c r="L2420" s="339" t="s">
        <v>409</v>
      </c>
      <c r="M2420" s="339" t="s">
        <v>409</v>
      </c>
      <c r="N2420" s="338"/>
      <c r="O2420" s="338" t="s">
        <v>409</v>
      </c>
      <c r="P2420" s="338"/>
    </row>
    <row r="2421" spans="2:16" x14ac:dyDescent="0.25">
      <c r="B2421" s="336" t="s">
        <v>416</v>
      </c>
      <c r="C2421" s="337">
        <v>39924</v>
      </c>
      <c r="D2421" s="338" t="s">
        <v>4920</v>
      </c>
      <c r="E2421" s="338" t="s">
        <v>4919</v>
      </c>
      <c r="F2421" s="338" t="s">
        <v>4060</v>
      </c>
      <c r="G2421" s="338" t="s">
        <v>413</v>
      </c>
      <c r="H2421" s="338" t="s">
        <v>412</v>
      </c>
      <c r="I2421" s="338" t="s">
        <v>411</v>
      </c>
      <c r="J2421" s="339"/>
      <c r="K2421" s="339"/>
      <c r="L2421" s="339">
        <v>0.43315599999999999</v>
      </c>
      <c r="M2421" s="339">
        <v>3.6236999999999999</v>
      </c>
      <c r="N2421" s="338" t="s">
        <v>417</v>
      </c>
      <c r="O2421" s="338" t="s">
        <v>417</v>
      </c>
      <c r="P2421" s="338" t="s">
        <v>443</v>
      </c>
    </row>
    <row r="2422" spans="2:16" x14ac:dyDescent="0.25">
      <c r="B2422" s="336" t="s">
        <v>416</v>
      </c>
      <c r="C2422" s="337">
        <v>39917</v>
      </c>
      <c r="D2422" s="338" t="s">
        <v>4918</v>
      </c>
      <c r="E2422" s="338" t="s">
        <v>669</v>
      </c>
      <c r="F2422" s="338" t="s">
        <v>463</v>
      </c>
      <c r="G2422" s="338" t="s">
        <v>413</v>
      </c>
      <c r="H2422" s="338" t="s">
        <v>425</v>
      </c>
      <c r="I2422" s="338" t="s">
        <v>411</v>
      </c>
      <c r="J2422" s="339"/>
      <c r="K2422" s="339"/>
      <c r="L2422" s="339">
        <v>0.43101099999999998</v>
      </c>
      <c r="M2422" s="339">
        <v>12.176500000000001</v>
      </c>
      <c r="N2422" s="338"/>
      <c r="O2422" s="338" t="s">
        <v>417</v>
      </c>
      <c r="P2422" s="338"/>
    </row>
    <row r="2423" spans="2:16" x14ac:dyDescent="0.25">
      <c r="B2423" s="336" t="s">
        <v>416</v>
      </c>
      <c r="C2423" s="337">
        <v>39917</v>
      </c>
      <c r="D2423" s="338" t="s">
        <v>4917</v>
      </c>
      <c r="E2423" s="338" t="s">
        <v>463</v>
      </c>
      <c r="F2423" s="338"/>
      <c r="G2423" s="338" t="s">
        <v>413</v>
      </c>
      <c r="H2423" s="338" t="s">
        <v>425</v>
      </c>
      <c r="I2423" s="338" t="s">
        <v>411</v>
      </c>
      <c r="J2423" s="339"/>
      <c r="K2423" s="339"/>
      <c r="L2423" s="339" t="s">
        <v>409</v>
      </c>
      <c r="M2423" s="339" t="s">
        <v>409</v>
      </c>
      <c r="N2423" s="338"/>
      <c r="O2423" s="338" t="s">
        <v>409</v>
      </c>
      <c r="P2423" s="338" t="s">
        <v>417</v>
      </c>
    </row>
    <row r="2424" spans="2:16" x14ac:dyDescent="0.25">
      <c r="B2424" s="336" t="s">
        <v>416</v>
      </c>
      <c r="C2424" s="337">
        <v>39917</v>
      </c>
      <c r="D2424" s="338" t="s">
        <v>4916</v>
      </c>
      <c r="E2424" s="338" t="s">
        <v>2923</v>
      </c>
      <c r="F2424" s="338"/>
      <c r="G2424" s="338" t="s">
        <v>413</v>
      </c>
      <c r="H2424" s="338" t="s">
        <v>412</v>
      </c>
      <c r="I2424" s="338" t="s">
        <v>411</v>
      </c>
      <c r="J2424" s="339"/>
      <c r="K2424" s="339"/>
      <c r="L2424" s="339" t="s">
        <v>409</v>
      </c>
      <c r="M2424" s="339" t="s">
        <v>409</v>
      </c>
      <c r="N2424" s="338"/>
      <c r="O2424" s="338" t="s">
        <v>409</v>
      </c>
      <c r="P2424" s="338" t="s">
        <v>482</v>
      </c>
    </row>
    <row r="2425" spans="2:16" x14ac:dyDescent="0.25">
      <c r="B2425" s="336" t="s">
        <v>416</v>
      </c>
      <c r="C2425" s="337">
        <v>39917</v>
      </c>
      <c r="D2425" s="338" t="s">
        <v>4915</v>
      </c>
      <c r="E2425" s="338" t="s">
        <v>3319</v>
      </c>
      <c r="F2425" s="338"/>
      <c r="G2425" s="338" t="s">
        <v>413</v>
      </c>
      <c r="H2425" s="338" t="s">
        <v>425</v>
      </c>
      <c r="I2425" s="338" t="s">
        <v>411</v>
      </c>
      <c r="J2425" s="339"/>
      <c r="K2425" s="339"/>
      <c r="L2425" s="339" t="s">
        <v>409</v>
      </c>
      <c r="M2425" s="339" t="s">
        <v>409</v>
      </c>
      <c r="N2425" s="338"/>
      <c r="O2425" s="338" t="s">
        <v>409</v>
      </c>
      <c r="P2425" s="338" t="s">
        <v>432</v>
      </c>
    </row>
    <row r="2426" spans="2:16" x14ac:dyDescent="0.25">
      <c r="B2426" s="336" t="s">
        <v>416</v>
      </c>
      <c r="C2426" s="337">
        <v>39917</v>
      </c>
      <c r="D2426" s="338" t="s">
        <v>4914</v>
      </c>
      <c r="E2426" s="338" t="s">
        <v>983</v>
      </c>
      <c r="F2426" s="338" t="s">
        <v>4913</v>
      </c>
      <c r="G2426" s="338" t="s">
        <v>413</v>
      </c>
      <c r="H2426" s="338" t="s">
        <v>425</v>
      </c>
      <c r="I2426" s="338" t="s">
        <v>411</v>
      </c>
      <c r="J2426" s="339"/>
      <c r="K2426" s="339"/>
      <c r="L2426" s="339"/>
      <c r="M2426" s="339"/>
      <c r="N2426" s="338"/>
      <c r="O2426" s="338" t="s">
        <v>408</v>
      </c>
      <c r="P2426" s="338" t="s">
        <v>417</v>
      </c>
    </row>
    <row r="2427" spans="2:16" x14ac:dyDescent="0.25">
      <c r="B2427" s="336" t="s">
        <v>416</v>
      </c>
      <c r="C2427" s="337">
        <v>39916</v>
      </c>
      <c r="D2427" s="338" t="s">
        <v>4912</v>
      </c>
      <c r="E2427" s="336"/>
      <c r="F2427" s="338" t="s">
        <v>4911</v>
      </c>
      <c r="G2427" s="338" t="s">
        <v>413</v>
      </c>
      <c r="H2427" s="338" t="s">
        <v>425</v>
      </c>
      <c r="I2427" s="338" t="s">
        <v>411</v>
      </c>
      <c r="J2427" s="339"/>
      <c r="K2427" s="339"/>
      <c r="L2427" s="339"/>
      <c r="M2427" s="339"/>
      <c r="N2427" s="338" t="s">
        <v>417</v>
      </c>
      <c r="O2427" s="338" t="s">
        <v>443</v>
      </c>
      <c r="P2427" s="338"/>
    </row>
    <row r="2428" spans="2:16" x14ac:dyDescent="0.25">
      <c r="B2428" s="336" t="s">
        <v>416</v>
      </c>
      <c r="C2428" s="337">
        <v>39916</v>
      </c>
      <c r="D2428" s="338" t="s">
        <v>956</v>
      </c>
      <c r="E2428" s="336" t="s">
        <v>4015</v>
      </c>
      <c r="F2428" s="338" t="s">
        <v>4847</v>
      </c>
      <c r="G2428" s="338">
        <v>6.5</v>
      </c>
      <c r="H2428" s="338" t="s">
        <v>425</v>
      </c>
      <c r="I2428" s="338" t="s">
        <v>411</v>
      </c>
      <c r="J2428" s="339"/>
      <c r="K2428" s="339"/>
      <c r="L2428" s="339"/>
      <c r="M2428" s="339"/>
      <c r="N2428" s="338"/>
      <c r="O2428" s="338" t="s">
        <v>417</v>
      </c>
      <c r="P2428" s="338" t="s">
        <v>417</v>
      </c>
    </row>
    <row r="2429" spans="2:16" x14ac:dyDescent="0.25">
      <c r="B2429" s="336" t="s">
        <v>459</v>
      </c>
      <c r="C2429" s="337">
        <v>39916</v>
      </c>
      <c r="D2429" s="338" t="s">
        <v>4424</v>
      </c>
      <c r="E2429" s="336" t="s">
        <v>4910</v>
      </c>
      <c r="F2429" s="338"/>
      <c r="G2429" s="338">
        <v>4</v>
      </c>
      <c r="H2429" s="338" t="s">
        <v>425</v>
      </c>
      <c r="I2429" s="338" t="s">
        <v>411</v>
      </c>
      <c r="J2429" s="339"/>
      <c r="K2429" s="339"/>
      <c r="L2429" s="339" t="s">
        <v>409</v>
      </c>
      <c r="M2429" s="339" t="s">
        <v>409</v>
      </c>
      <c r="N2429" s="338" t="s">
        <v>417</v>
      </c>
      <c r="O2429" s="338" t="s">
        <v>409</v>
      </c>
      <c r="P2429" s="338"/>
    </row>
    <row r="2430" spans="2:16" x14ac:dyDescent="0.25">
      <c r="B2430" s="336" t="s">
        <v>416</v>
      </c>
      <c r="C2430" s="337">
        <v>39912</v>
      </c>
      <c r="D2430" s="338" t="s">
        <v>4909</v>
      </c>
      <c r="E2430" s="336" t="s">
        <v>4413</v>
      </c>
      <c r="F2430" s="338"/>
      <c r="G2430" s="338">
        <v>0.8</v>
      </c>
      <c r="H2430" s="338" t="s">
        <v>425</v>
      </c>
      <c r="I2430" s="338" t="s">
        <v>411</v>
      </c>
      <c r="J2430" s="339"/>
      <c r="K2430" s="339"/>
      <c r="L2430" s="339" t="s">
        <v>409</v>
      </c>
      <c r="M2430" s="339" t="s">
        <v>409</v>
      </c>
      <c r="N2430" s="338" t="s">
        <v>605</v>
      </c>
      <c r="O2430" s="338" t="s">
        <v>409</v>
      </c>
      <c r="P2430" s="338" t="s">
        <v>417</v>
      </c>
    </row>
    <row r="2431" spans="2:16" x14ac:dyDescent="0.25">
      <c r="B2431" s="336" t="s">
        <v>416</v>
      </c>
      <c r="C2431" s="337">
        <v>39912</v>
      </c>
      <c r="D2431" s="338" t="s">
        <v>4908</v>
      </c>
      <c r="E2431" s="336" t="s">
        <v>4907</v>
      </c>
      <c r="F2431" s="338" t="s">
        <v>4906</v>
      </c>
      <c r="G2431" s="338" t="s">
        <v>413</v>
      </c>
      <c r="H2431" s="338" t="s">
        <v>425</v>
      </c>
      <c r="I2431" s="338" t="s">
        <v>411</v>
      </c>
      <c r="J2431" s="339"/>
      <c r="K2431" s="339"/>
      <c r="L2431" s="339"/>
      <c r="M2431" s="339"/>
      <c r="N2431" s="338"/>
      <c r="O2431" s="338" t="s">
        <v>417</v>
      </c>
      <c r="P2431" s="338" t="s">
        <v>417</v>
      </c>
    </row>
    <row r="2432" spans="2:16" x14ac:dyDescent="0.25">
      <c r="B2432" s="336" t="s">
        <v>416</v>
      </c>
      <c r="C2432" s="337">
        <v>39911</v>
      </c>
      <c r="D2432" s="338" t="s">
        <v>4905</v>
      </c>
      <c r="E2432" s="336" t="s">
        <v>2921</v>
      </c>
      <c r="F2432" s="338"/>
      <c r="G2432" s="338" t="s">
        <v>413</v>
      </c>
      <c r="H2432" s="338" t="s">
        <v>425</v>
      </c>
      <c r="I2432" s="338" t="s">
        <v>411</v>
      </c>
      <c r="J2432" s="339"/>
      <c r="K2432" s="339"/>
      <c r="L2432" s="339" t="s">
        <v>409</v>
      </c>
      <c r="M2432" s="339" t="s">
        <v>409</v>
      </c>
      <c r="N2432" s="338" t="s">
        <v>417</v>
      </c>
      <c r="O2432" s="338" t="s">
        <v>409</v>
      </c>
      <c r="P2432" s="338" t="s">
        <v>443</v>
      </c>
    </row>
    <row r="2433" spans="2:16" x14ac:dyDescent="0.25">
      <c r="B2433" s="336" t="s">
        <v>416</v>
      </c>
      <c r="C2433" s="337">
        <v>39910</v>
      </c>
      <c r="D2433" s="338" t="s">
        <v>4904</v>
      </c>
      <c r="E2433" s="336" t="s">
        <v>4903</v>
      </c>
      <c r="F2433" s="338"/>
      <c r="G2433" s="338" t="s">
        <v>413</v>
      </c>
      <c r="H2433" s="338" t="s">
        <v>412</v>
      </c>
      <c r="I2433" s="338" t="s">
        <v>411</v>
      </c>
      <c r="J2433" s="339"/>
      <c r="K2433" s="339"/>
      <c r="L2433" s="339" t="s">
        <v>409</v>
      </c>
      <c r="M2433" s="339" t="s">
        <v>409</v>
      </c>
      <c r="N2433" s="338" t="s">
        <v>417</v>
      </c>
      <c r="O2433" s="338" t="s">
        <v>409</v>
      </c>
      <c r="P2433" s="338" t="s">
        <v>443</v>
      </c>
    </row>
    <row r="2434" spans="2:16" x14ac:dyDescent="0.25">
      <c r="B2434" s="336" t="s">
        <v>416</v>
      </c>
      <c r="C2434" s="337">
        <v>39906</v>
      </c>
      <c r="D2434" s="338" t="s">
        <v>4902</v>
      </c>
      <c r="E2434" s="336" t="s">
        <v>4901</v>
      </c>
      <c r="F2434" s="338" t="s">
        <v>4900</v>
      </c>
      <c r="G2434" s="338">
        <v>83</v>
      </c>
      <c r="H2434" s="338" t="s">
        <v>425</v>
      </c>
      <c r="I2434" s="338" t="s">
        <v>411</v>
      </c>
      <c r="J2434" s="339"/>
      <c r="K2434" s="339"/>
      <c r="L2434" s="339"/>
      <c r="M2434" s="339"/>
      <c r="N2434" s="338" t="s">
        <v>417</v>
      </c>
      <c r="O2434" s="338" t="s">
        <v>443</v>
      </c>
      <c r="P2434" s="338" t="s">
        <v>417</v>
      </c>
    </row>
    <row r="2435" spans="2:16" x14ac:dyDescent="0.25">
      <c r="B2435" s="336" t="s">
        <v>416</v>
      </c>
      <c r="C2435" s="337">
        <v>39904</v>
      </c>
      <c r="D2435" s="338" t="s">
        <v>4899</v>
      </c>
      <c r="E2435" s="336" t="s">
        <v>514</v>
      </c>
      <c r="F2435" s="338" t="s">
        <v>4898</v>
      </c>
      <c r="G2435" s="338" t="s">
        <v>413</v>
      </c>
      <c r="H2435" s="338" t="s">
        <v>425</v>
      </c>
      <c r="I2435" s="338" t="s">
        <v>411</v>
      </c>
      <c r="J2435" s="339"/>
      <c r="K2435" s="339"/>
      <c r="L2435" s="339">
        <v>1.6910400000000001</v>
      </c>
      <c r="M2435" s="339">
        <v>6.2010399999999999</v>
      </c>
      <c r="N2435" s="338" t="s">
        <v>417</v>
      </c>
      <c r="O2435" s="338" t="s">
        <v>417</v>
      </c>
      <c r="P2435" s="338"/>
    </row>
    <row r="2436" spans="2:16" x14ac:dyDescent="0.25">
      <c r="B2436" s="336" t="s">
        <v>416</v>
      </c>
      <c r="C2436" s="337">
        <v>39904</v>
      </c>
      <c r="D2436" s="338" t="s">
        <v>4897</v>
      </c>
      <c r="E2436" s="336" t="s">
        <v>4896</v>
      </c>
      <c r="F2436" s="338" t="s">
        <v>4895</v>
      </c>
      <c r="G2436" s="338" t="s">
        <v>413</v>
      </c>
      <c r="H2436" s="338" t="s">
        <v>425</v>
      </c>
      <c r="I2436" s="338" t="s">
        <v>411</v>
      </c>
      <c r="J2436" s="339"/>
      <c r="K2436" s="339"/>
      <c r="L2436" s="339">
        <v>1.42998</v>
      </c>
      <c r="M2436" s="339">
        <v>13.2883</v>
      </c>
      <c r="N2436" s="338"/>
      <c r="O2436" s="338" t="s">
        <v>410</v>
      </c>
      <c r="P2436" s="338" t="s">
        <v>443</v>
      </c>
    </row>
    <row r="2437" spans="2:16" x14ac:dyDescent="0.25">
      <c r="B2437" s="336" t="s">
        <v>416</v>
      </c>
      <c r="C2437" s="337">
        <v>39903</v>
      </c>
      <c r="D2437" s="338" t="s">
        <v>4894</v>
      </c>
      <c r="E2437" s="336" t="s">
        <v>4893</v>
      </c>
      <c r="F2437" s="338" t="s">
        <v>889</v>
      </c>
      <c r="G2437" s="338" t="s">
        <v>413</v>
      </c>
      <c r="H2437" s="338" t="s">
        <v>425</v>
      </c>
      <c r="I2437" s="338" t="s">
        <v>411</v>
      </c>
      <c r="J2437" s="339">
        <v>0.93250699999999997</v>
      </c>
      <c r="K2437" s="339">
        <v>4.4834899999999998</v>
      </c>
      <c r="L2437" s="339">
        <v>2.9470299999999998</v>
      </c>
      <c r="M2437" s="339">
        <v>13.790100000000001</v>
      </c>
      <c r="N2437" s="338" t="s">
        <v>410</v>
      </c>
      <c r="O2437" s="338" t="s">
        <v>410</v>
      </c>
      <c r="P2437" s="338"/>
    </row>
    <row r="2438" spans="2:16" x14ac:dyDescent="0.25">
      <c r="B2438" s="336" t="s">
        <v>459</v>
      </c>
      <c r="C2438" s="337">
        <v>39903</v>
      </c>
      <c r="D2438" s="338" t="s">
        <v>4892</v>
      </c>
      <c r="E2438" s="336" t="s">
        <v>4891</v>
      </c>
      <c r="F2438" s="338"/>
      <c r="G2438" s="338" t="s">
        <v>413</v>
      </c>
      <c r="H2438" s="338" t="s">
        <v>412</v>
      </c>
      <c r="I2438" s="338" t="s">
        <v>411</v>
      </c>
      <c r="J2438" s="339"/>
      <c r="K2438" s="339"/>
      <c r="L2438" s="339" t="s">
        <v>409</v>
      </c>
      <c r="M2438" s="339" t="s">
        <v>409</v>
      </c>
      <c r="N2438" s="338" t="s">
        <v>417</v>
      </c>
      <c r="O2438" s="338" t="s">
        <v>409</v>
      </c>
      <c r="P2438" s="338" t="s">
        <v>443</v>
      </c>
    </row>
    <row r="2439" spans="2:16" x14ac:dyDescent="0.25">
      <c r="B2439" s="336" t="s">
        <v>416</v>
      </c>
      <c r="C2439" s="337">
        <v>39902</v>
      </c>
      <c r="D2439" s="338" t="s">
        <v>4890</v>
      </c>
      <c r="E2439" s="336" t="s">
        <v>468</v>
      </c>
      <c r="F2439" s="338" t="s">
        <v>4889</v>
      </c>
      <c r="G2439" s="338" t="s">
        <v>413</v>
      </c>
      <c r="H2439" s="338" t="s">
        <v>425</v>
      </c>
      <c r="I2439" s="338" t="s">
        <v>411</v>
      </c>
      <c r="J2439" s="339"/>
      <c r="K2439" s="339"/>
      <c r="L2439" s="339"/>
      <c r="M2439" s="339"/>
      <c r="N2439" s="338"/>
      <c r="O2439" s="338" t="s">
        <v>417</v>
      </c>
      <c r="P2439" s="338" t="s">
        <v>443</v>
      </c>
    </row>
    <row r="2440" spans="2:16" x14ac:dyDescent="0.25">
      <c r="B2440" s="336" t="s">
        <v>416</v>
      </c>
      <c r="C2440" s="337">
        <v>39902</v>
      </c>
      <c r="D2440" s="338" t="s">
        <v>945</v>
      </c>
      <c r="E2440" s="336" t="s">
        <v>4888</v>
      </c>
      <c r="F2440" s="338" t="s">
        <v>4887</v>
      </c>
      <c r="G2440" s="338" t="s">
        <v>413</v>
      </c>
      <c r="H2440" s="338" t="s">
        <v>425</v>
      </c>
      <c r="I2440" s="338" t="s">
        <v>411</v>
      </c>
      <c r="J2440" s="339"/>
      <c r="K2440" s="339"/>
      <c r="L2440" s="339"/>
      <c r="M2440" s="339"/>
      <c r="N2440" s="338"/>
      <c r="O2440" s="338" t="s">
        <v>417</v>
      </c>
      <c r="P2440" s="338"/>
    </row>
    <row r="2441" spans="2:16" x14ac:dyDescent="0.25">
      <c r="B2441" s="336" t="s">
        <v>416</v>
      </c>
      <c r="C2441" s="337">
        <v>39902</v>
      </c>
      <c r="D2441" s="338" t="s">
        <v>4886</v>
      </c>
      <c r="E2441" s="336" t="s">
        <v>3642</v>
      </c>
      <c r="F2441" s="338" t="s">
        <v>3017</v>
      </c>
      <c r="G2441" s="338" t="s">
        <v>413</v>
      </c>
      <c r="H2441" s="338" t="s">
        <v>425</v>
      </c>
      <c r="I2441" s="338" t="s">
        <v>411</v>
      </c>
      <c r="J2441" s="339"/>
      <c r="K2441" s="339"/>
      <c r="L2441" s="339"/>
      <c r="M2441" s="339"/>
      <c r="N2441" s="338" t="s">
        <v>410</v>
      </c>
      <c r="O2441" s="338" t="s">
        <v>417</v>
      </c>
      <c r="P2441" s="338" t="s">
        <v>443</v>
      </c>
    </row>
    <row r="2442" spans="2:16" x14ac:dyDescent="0.25">
      <c r="B2442" s="336" t="s">
        <v>416</v>
      </c>
      <c r="C2442" s="337">
        <v>39902</v>
      </c>
      <c r="D2442" s="338" t="s">
        <v>4885</v>
      </c>
      <c r="E2442" s="336" t="s">
        <v>4884</v>
      </c>
      <c r="F2442" s="338"/>
      <c r="G2442" s="338">
        <v>0.88</v>
      </c>
      <c r="H2442" s="338" t="s">
        <v>336</v>
      </c>
      <c r="I2442" s="338" t="s">
        <v>411</v>
      </c>
      <c r="J2442" s="339"/>
      <c r="K2442" s="339"/>
      <c r="L2442" s="339" t="s">
        <v>409</v>
      </c>
      <c r="M2442" s="339" t="s">
        <v>409</v>
      </c>
      <c r="N2442" s="338" t="s">
        <v>410</v>
      </c>
      <c r="O2442" s="338" t="s">
        <v>409</v>
      </c>
      <c r="P2442" s="338" t="s">
        <v>417</v>
      </c>
    </row>
    <row r="2443" spans="2:16" x14ac:dyDescent="0.25">
      <c r="B2443" s="336" t="s">
        <v>416</v>
      </c>
      <c r="C2443" s="337">
        <v>39899</v>
      </c>
      <c r="D2443" s="338" t="s">
        <v>4883</v>
      </c>
      <c r="E2443" s="336" t="s">
        <v>4882</v>
      </c>
      <c r="F2443" s="338"/>
      <c r="G2443" s="338">
        <v>4.83</v>
      </c>
      <c r="H2443" s="338" t="s">
        <v>336</v>
      </c>
      <c r="I2443" s="338" t="s">
        <v>411</v>
      </c>
      <c r="J2443" s="339"/>
      <c r="K2443" s="339"/>
      <c r="L2443" s="339" t="s">
        <v>409</v>
      </c>
      <c r="M2443" s="339" t="s">
        <v>409</v>
      </c>
      <c r="N2443" s="338" t="s">
        <v>417</v>
      </c>
      <c r="O2443" s="338" t="s">
        <v>409</v>
      </c>
      <c r="P2443" s="338" t="s">
        <v>410</v>
      </c>
    </row>
    <row r="2444" spans="2:16" x14ac:dyDescent="0.25">
      <c r="B2444" s="336" t="s">
        <v>416</v>
      </c>
      <c r="C2444" s="337">
        <v>39899</v>
      </c>
      <c r="D2444" s="338" t="s">
        <v>552</v>
      </c>
      <c r="E2444" s="336" t="s">
        <v>4881</v>
      </c>
      <c r="F2444" s="338" t="s">
        <v>4870</v>
      </c>
      <c r="G2444" s="338" t="s">
        <v>413</v>
      </c>
      <c r="H2444" s="338" t="s">
        <v>425</v>
      </c>
      <c r="I2444" s="338" t="s">
        <v>411</v>
      </c>
      <c r="J2444" s="339"/>
      <c r="K2444" s="339"/>
      <c r="L2444" s="339"/>
      <c r="M2444" s="339"/>
      <c r="N2444" s="338"/>
      <c r="O2444" s="338" t="s">
        <v>417</v>
      </c>
      <c r="P2444" s="338" t="s">
        <v>432</v>
      </c>
    </row>
    <row r="2445" spans="2:16" x14ac:dyDescent="0.25">
      <c r="B2445" s="336" t="s">
        <v>416</v>
      </c>
      <c r="C2445" s="337">
        <v>39899</v>
      </c>
      <c r="D2445" s="338" t="s">
        <v>4880</v>
      </c>
      <c r="E2445" s="336" t="s">
        <v>4879</v>
      </c>
      <c r="F2445" s="338" t="s">
        <v>4878</v>
      </c>
      <c r="G2445" s="338" t="s">
        <v>413</v>
      </c>
      <c r="H2445" s="338" t="s">
        <v>425</v>
      </c>
      <c r="I2445" s="338" t="s">
        <v>411</v>
      </c>
      <c r="J2445" s="339"/>
      <c r="K2445" s="339"/>
      <c r="L2445" s="339">
        <v>0.44795099999999999</v>
      </c>
      <c r="M2445" s="339">
        <v>39.877000000000002</v>
      </c>
      <c r="N2445" s="338"/>
      <c r="O2445" s="338" t="s">
        <v>487</v>
      </c>
      <c r="P2445" s="338" t="s">
        <v>487</v>
      </c>
    </row>
    <row r="2446" spans="2:16" x14ac:dyDescent="0.25">
      <c r="B2446" s="336" t="s">
        <v>459</v>
      </c>
      <c r="C2446" s="337">
        <v>39898</v>
      </c>
      <c r="D2446" s="338" t="s">
        <v>4877</v>
      </c>
      <c r="E2446" s="336" t="s">
        <v>4876</v>
      </c>
      <c r="F2446" s="338"/>
      <c r="G2446" s="338">
        <v>30</v>
      </c>
      <c r="H2446" s="338" t="s">
        <v>425</v>
      </c>
      <c r="I2446" s="338" t="s">
        <v>411</v>
      </c>
      <c r="J2446" s="339"/>
      <c r="K2446" s="339"/>
      <c r="L2446" s="339" t="s">
        <v>409</v>
      </c>
      <c r="M2446" s="339" t="s">
        <v>409</v>
      </c>
      <c r="N2446" s="338" t="s">
        <v>417</v>
      </c>
      <c r="O2446" s="338" t="s">
        <v>409</v>
      </c>
      <c r="P2446" s="338"/>
    </row>
    <row r="2447" spans="2:16" x14ac:dyDescent="0.25">
      <c r="B2447" s="336" t="s">
        <v>416</v>
      </c>
      <c r="C2447" s="337">
        <v>39898</v>
      </c>
      <c r="D2447" s="338" t="s">
        <v>4875</v>
      </c>
      <c r="E2447" s="336" t="s">
        <v>4874</v>
      </c>
      <c r="F2447" s="338" t="s">
        <v>4873</v>
      </c>
      <c r="G2447" s="338" t="s">
        <v>413</v>
      </c>
      <c r="H2447" s="338" t="s">
        <v>425</v>
      </c>
      <c r="I2447" s="338" t="s">
        <v>411</v>
      </c>
      <c r="J2447" s="339"/>
      <c r="K2447" s="339"/>
      <c r="L2447" s="339"/>
      <c r="M2447" s="339"/>
      <c r="N2447" s="338"/>
      <c r="O2447" s="338" t="s">
        <v>410</v>
      </c>
      <c r="P2447" s="338" t="s">
        <v>410</v>
      </c>
    </row>
    <row r="2448" spans="2:16" x14ac:dyDescent="0.25">
      <c r="B2448" s="336" t="s">
        <v>416</v>
      </c>
      <c r="C2448" s="337">
        <v>39897</v>
      </c>
      <c r="D2448" s="338" t="s">
        <v>4872</v>
      </c>
      <c r="E2448" s="336" t="s">
        <v>4871</v>
      </c>
      <c r="F2448" s="338" t="s">
        <v>4870</v>
      </c>
      <c r="G2448" s="338" t="s">
        <v>413</v>
      </c>
      <c r="H2448" s="338" t="s">
        <v>425</v>
      </c>
      <c r="I2448" s="338" t="s">
        <v>411</v>
      </c>
      <c r="J2448" s="339"/>
      <c r="K2448" s="339"/>
      <c r="L2448" s="339"/>
      <c r="M2448" s="339"/>
      <c r="N2448" s="338"/>
      <c r="O2448" s="338" t="s">
        <v>417</v>
      </c>
      <c r="P2448" s="338" t="s">
        <v>417</v>
      </c>
    </row>
    <row r="2449" spans="2:16" x14ac:dyDescent="0.25">
      <c r="B2449" s="336" t="s">
        <v>416</v>
      </c>
      <c r="C2449" s="337">
        <v>39896</v>
      </c>
      <c r="D2449" s="338" t="s">
        <v>956</v>
      </c>
      <c r="E2449" s="336" t="s">
        <v>4869</v>
      </c>
      <c r="F2449" s="338" t="s">
        <v>4868</v>
      </c>
      <c r="G2449" s="338">
        <v>25</v>
      </c>
      <c r="H2449" s="338" t="s">
        <v>425</v>
      </c>
      <c r="I2449" s="338" t="s">
        <v>411</v>
      </c>
      <c r="J2449" s="339"/>
      <c r="K2449" s="339"/>
      <c r="L2449" s="339"/>
      <c r="M2449" s="339"/>
      <c r="N2449" s="338"/>
      <c r="O2449" s="338" t="s">
        <v>417</v>
      </c>
      <c r="P2449" s="338" t="s">
        <v>417</v>
      </c>
    </row>
    <row r="2450" spans="2:16" x14ac:dyDescent="0.25">
      <c r="B2450" s="336" t="s">
        <v>416</v>
      </c>
      <c r="C2450" s="337">
        <v>39890</v>
      </c>
      <c r="D2450" s="338" t="s">
        <v>4867</v>
      </c>
      <c r="E2450" s="336" t="s">
        <v>4866</v>
      </c>
      <c r="F2450" s="338" t="s">
        <v>4865</v>
      </c>
      <c r="G2450" s="338" t="s">
        <v>413</v>
      </c>
      <c r="H2450" s="338" t="s">
        <v>412</v>
      </c>
      <c r="I2450" s="338" t="s">
        <v>411</v>
      </c>
      <c r="J2450" s="339"/>
      <c r="K2450" s="339"/>
      <c r="L2450" s="339"/>
      <c r="M2450" s="339"/>
      <c r="N2450" s="338" t="s">
        <v>417</v>
      </c>
      <c r="O2450" s="338" t="s">
        <v>417</v>
      </c>
      <c r="P2450" s="338" t="s">
        <v>417</v>
      </c>
    </row>
    <row r="2451" spans="2:16" x14ac:dyDescent="0.25">
      <c r="B2451" s="336" t="s">
        <v>416</v>
      </c>
      <c r="C2451" s="337">
        <v>39890</v>
      </c>
      <c r="D2451" s="338" t="s">
        <v>956</v>
      </c>
      <c r="E2451" s="336" t="s">
        <v>4864</v>
      </c>
      <c r="F2451" s="338" t="s">
        <v>4847</v>
      </c>
      <c r="G2451" s="338">
        <v>4.1100000000000003</v>
      </c>
      <c r="H2451" s="338" t="s">
        <v>425</v>
      </c>
      <c r="I2451" s="338" t="s">
        <v>411</v>
      </c>
      <c r="J2451" s="339"/>
      <c r="K2451" s="339"/>
      <c r="L2451" s="339"/>
      <c r="M2451" s="339"/>
      <c r="N2451" s="338"/>
      <c r="O2451" s="338" t="s">
        <v>417</v>
      </c>
      <c r="P2451" s="338" t="s">
        <v>443</v>
      </c>
    </row>
    <row r="2452" spans="2:16" x14ac:dyDescent="0.25">
      <c r="B2452" s="336" t="s">
        <v>416</v>
      </c>
      <c r="C2452" s="337">
        <v>39889</v>
      </c>
      <c r="D2452" s="338" t="s">
        <v>552</v>
      </c>
      <c r="E2452" s="336" t="s">
        <v>580</v>
      </c>
      <c r="F2452" s="338" t="s">
        <v>3422</v>
      </c>
      <c r="G2452" s="338">
        <v>2.4</v>
      </c>
      <c r="H2452" s="338" t="s">
        <v>425</v>
      </c>
      <c r="I2452" s="338" t="s">
        <v>411</v>
      </c>
      <c r="J2452" s="339"/>
      <c r="K2452" s="339"/>
      <c r="L2452" s="339">
        <v>0.75670800000000005</v>
      </c>
      <c r="M2452" s="339">
        <v>2.0253299999999999</v>
      </c>
      <c r="N2452" s="338"/>
      <c r="O2452" s="338" t="s">
        <v>417</v>
      </c>
      <c r="P2452" s="338" t="s">
        <v>417</v>
      </c>
    </row>
    <row r="2453" spans="2:16" x14ac:dyDescent="0.25">
      <c r="B2453" s="336" t="s">
        <v>416</v>
      </c>
      <c r="C2453" s="337">
        <v>39885</v>
      </c>
      <c r="D2453" s="338" t="s">
        <v>2639</v>
      </c>
      <c r="E2453" s="336" t="s">
        <v>4863</v>
      </c>
      <c r="F2453" s="338" t="s">
        <v>4862</v>
      </c>
      <c r="G2453" s="338">
        <v>1400</v>
      </c>
      <c r="H2453" s="338" t="s">
        <v>425</v>
      </c>
      <c r="I2453" s="338" t="s">
        <v>411</v>
      </c>
      <c r="J2453" s="339"/>
      <c r="K2453" s="339"/>
      <c r="L2453" s="339"/>
      <c r="M2453" s="339"/>
      <c r="N2453" s="338" t="s">
        <v>417</v>
      </c>
      <c r="O2453" s="338"/>
      <c r="P2453" s="338" t="s">
        <v>417</v>
      </c>
    </row>
    <row r="2454" spans="2:16" x14ac:dyDescent="0.25">
      <c r="B2454" s="336" t="s">
        <v>459</v>
      </c>
      <c r="C2454" s="337">
        <v>39885</v>
      </c>
      <c r="D2454" s="338" t="s">
        <v>2639</v>
      </c>
      <c r="E2454" s="336" t="s">
        <v>4863</v>
      </c>
      <c r="F2454" s="338" t="s">
        <v>4862</v>
      </c>
      <c r="G2454" s="338">
        <v>320</v>
      </c>
      <c r="H2454" s="338" t="s">
        <v>425</v>
      </c>
      <c r="I2454" s="338" t="s">
        <v>411</v>
      </c>
      <c r="J2454" s="339"/>
      <c r="K2454" s="339"/>
      <c r="L2454" s="339"/>
      <c r="M2454" s="339"/>
      <c r="N2454" s="338" t="s">
        <v>417</v>
      </c>
      <c r="O2454" s="338"/>
      <c r="P2454" s="338" t="s">
        <v>417</v>
      </c>
    </row>
    <row r="2455" spans="2:16" x14ac:dyDescent="0.25">
      <c r="B2455" s="336" t="s">
        <v>459</v>
      </c>
      <c r="C2455" s="337">
        <v>39884</v>
      </c>
      <c r="D2455" s="338" t="s">
        <v>4544</v>
      </c>
      <c r="E2455" s="336" t="s">
        <v>4861</v>
      </c>
      <c r="F2455" s="338"/>
      <c r="G2455" s="338">
        <v>5.3</v>
      </c>
      <c r="H2455" s="338" t="s">
        <v>425</v>
      </c>
      <c r="I2455" s="338" t="s">
        <v>411</v>
      </c>
      <c r="J2455" s="339"/>
      <c r="K2455" s="339"/>
      <c r="L2455" s="339" t="s">
        <v>409</v>
      </c>
      <c r="M2455" s="339" t="s">
        <v>409</v>
      </c>
      <c r="N2455" s="338" t="s">
        <v>432</v>
      </c>
      <c r="O2455" s="338" t="s">
        <v>409</v>
      </c>
      <c r="P2455" s="338"/>
    </row>
    <row r="2456" spans="2:16" x14ac:dyDescent="0.25">
      <c r="B2456" s="336" t="s">
        <v>416</v>
      </c>
      <c r="C2456" s="337">
        <v>39884</v>
      </c>
      <c r="D2456" s="338" t="s">
        <v>4860</v>
      </c>
      <c r="E2456" s="336" t="s">
        <v>4859</v>
      </c>
      <c r="F2456" s="338"/>
      <c r="G2456" s="338" t="s">
        <v>413</v>
      </c>
      <c r="H2456" s="338" t="s">
        <v>412</v>
      </c>
      <c r="I2456" s="338" t="s">
        <v>411</v>
      </c>
      <c r="J2456" s="339"/>
      <c r="K2456" s="339"/>
      <c r="L2456" s="339" t="s">
        <v>409</v>
      </c>
      <c r="M2456" s="339" t="s">
        <v>409</v>
      </c>
      <c r="N2456" s="338" t="s">
        <v>482</v>
      </c>
      <c r="O2456" s="338" t="s">
        <v>409</v>
      </c>
      <c r="P2456" s="338" t="s">
        <v>417</v>
      </c>
    </row>
    <row r="2457" spans="2:16" x14ac:dyDescent="0.25">
      <c r="B2457" s="336" t="s">
        <v>416</v>
      </c>
      <c r="C2457" s="337">
        <v>39884</v>
      </c>
      <c r="D2457" s="338" t="s">
        <v>4858</v>
      </c>
      <c r="E2457" s="336" t="s">
        <v>1141</v>
      </c>
      <c r="F2457" s="338"/>
      <c r="G2457" s="338">
        <v>15.75</v>
      </c>
      <c r="H2457" s="338" t="s">
        <v>418</v>
      </c>
      <c r="I2457" s="338" t="s">
        <v>411</v>
      </c>
      <c r="J2457" s="339"/>
      <c r="K2457" s="339"/>
      <c r="L2457" s="339" t="s">
        <v>409</v>
      </c>
      <c r="M2457" s="339" t="s">
        <v>409</v>
      </c>
      <c r="N2457" s="338"/>
      <c r="O2457" s="338" t="s">
        <v>409</v>
      </c>
      <c r="P2457" s="338" t="s">
        <v>417</v>
      </c>
    </row>
    <row r="2458" spans="2:16" x14ac:dyDescent="0.25">
      <c r="B2458" s="336" t="s">
        <v>416</v>
      </c>
      <c r="C2458" s="337">
        <v>39882</v>
      </c>
      <c r="D2458" s="338" t="s">
        <v>4857</v>
      </c>
      <c r="E2458" s="336" t="s">
        <v>4856</v>
      </c>
      <c r="F2458" s="338"/>
      <c r="G2458" s="338" t="s">
        <v>413</v>
      </c>
      <c r="H2458" s="338" t="s">
        <v>412</v>
      </c>
      <c r="I2458" s="338" t="s">
        <v>411</v>
      </c>
      <c r="J2458" s="339"/>
      <c r="K2458" s="339"/>
      <c r="L2458" s="339" t="s">
        <v>409</v>
      </c>
      <c r="M2458" s="339" t="s">
        <v>409</v>
      </c>
      <c r="N2458" s="338"/>
      <c r="O2458" s="338" t="s">
        <v>409</v>
      </c>
      <c r="P2458" s="338" t="s">
        <v>417</v>
      </c>
    </row>
    <row r="2459" spans="2:16" x14ac:dyDescent="0.25">
      <c r="B2459" s="336" t="s">
        <v>416</v>
      </c>
      <c r="C2459" s="337">
        <v>39881</v>
      </c>
      <c r="D2459" s="338" t="s">
        <v>4855</v>
      </c>
      <c r="E2459" s="336" t="s">
        <v>4854</v>
      </c>
      <c r="F2459" s="338"/>
      <c r="G2459" s="338" t="s">
        <v>413</v>
      </c>
      <c r="H2459" s="338" t="s">
        <v>412</v>
      </c>
      <c r="I2459" s="338" t="s">
        <v>411</v>
      </c>
      <c r="J2459" s="339"/>
      <c r="K2459" s="339"/>
      <c r="L2459" s="339" t="s">
        <v>409</v>
      </c>
      <c r="M2459" s="339" t="s">
        <v>409</v>
      </c>
      <c r="N2459" s="338" t="s">
        <v>417</v>
      </c>
      <c r="O2459" s="338" t="s">
        <v>409</v>
      </c>
      <c r="P2459" s="338" t="s">
        <v>443</v>
      </c>
    </row>
    <row r="2460" spans="2:16" x14ac:dyDescent="0.25">
      <c r="B2460" s="336" t="s">
        <v>416</v>
      </c>
      <c r="C2460" s="337">
        <v>39877</v>
      </c>
      <c r="D2460" s="338" t="s">
        <v>4853</v>
      </c>
      <c r="E2460" s="336" t="s">
        <v>538</v>
      </c>
      <c r="F2460" s="338"/>
      <c r="G2460" s="338">
        <v>15.7</v>
      </c>
      <c r="H2460" s="338" t="s">
        <v>425</v>
      </c>
      <c r="I2460" s="338" t="s">
        <v>411</v>
      </c>
      <c r="J2460" s="339"/>
      <c r="K2460" s="339"/>
      <c r="L2460" s="339" t="s">
        <v>409</v>
      </c>
      <c r="M2460" s="339" t="s">
        <v>409</v>
      </c>
      <c r="N2460" s="338" t="s">
        <v>432</v>
      </c>
      <c r="O2460" s="338" t="s">
        <v>409</v>
      </c>
      <c r="P2460" s="338" t="s">
        <v>417</v>
      </c>
    </row>
    <row r="2461" spans="2:16" x14ac:dyDescent="0.25">
      <c r="B2461" s="336" t="s">
        <v>541</v>
      </c>
      <c r="C2461" s="337">
        <v>39877</v>
      </c>
      <c r="D2461" s="338" t="s">
        <v>4852</v>
      </c>
      <c r="E2461" s="336" t="s">
        <v>539</v>
      </c>
      <c r="F2461" s="338" t="s">
        <v>4662</v>
      </c>
      <c r="G2461" s="338" t="s">
        <v>413</v>
      </c>
      <c r="H2461" s="338"/>
      <c r="I2461" s="338" t="s">
        <v>411</v>
      </c>
      <c r="J2461" s="339"/>
      <c r="K2461" s="339"/>
      <c r="L2461" s="339"/>
      <c r="M2461" s="339"/>
      <c r="N2461" s="338" t="s">
        <v>417</v>
      </c>
      <c r="O2461" s="338" t="s">
        <v>443</v>
      </c>
      <c r="P2461" s="338" t="s">
        <v>409</v>
      </c>
    </row>
    <row r="2462" spans="2:16" x14ac:dyDescent="0.25">
      <c r="B2462" s="336" t="s">
        <v>416</v>
      </c>
      <c r="C2462" s="337">
        <v>39876</v>
      </c>
      <c r="D2462" s="338" t="s">
        <v>4851</v>
      </c>
      <c r="E2462" s="336" t="s">
        <v>4644</v>
      </c>
      <c r="F2462" s="338" t="s">
        <v>889</v>
      </c>
      <c r="G2462" s="338" t="s">
        <v>413</v>
      </c>
      <c r="H2462" s="338" t="s">
        <v>425</v>
      </c>
      <c r="I2462" s="338" t="s">
        <v>411</v>
      </c>
      <c r="J2462" s="339"/>
      <c r="K2462" s="339"/>
      <c r="L2462" s="339">
        <v>2.9470299999999998</v>
      </c>
      <c r="M2462" s="339">
        <v>13.790100000000001</v>
      </c>
      <c r="N2462" s="338"/>
      <c r="O2462" s="338" t="s">
        <v>410</v>
      </c>
      <c r="P2462" s="338" t="s">
        <v>410</v>
      </c>
    </row>
    <row r="2463" spans="2:16" x14ac:dyDescent="0.25">
      <c r="B2463" s="336" t="s">
        <v>459</v>
      </c>
      <c r="C2463" s="337">
        <v>39875</v>
      </c>
      <c r="D2463" s="338" t="s">
        <v>2885</v>
      </c>
      <c r="E2463" s="336" t="s">
        <v>2884</v>
      </c>
      <c r="F2463" s="338"/>
      <c r="G2463" s="338">
        <v>4</v>
      </c>
      <c r="H2463" s="338" t="s">
        <v>425</v>
      </c>
      <c r="I2463" s="338" t="s">
        <v>411</v>
      </c>
      <c r="J2463" s="339"/>
      <c r="K2463" s="339"/>
      <c r="L2463" s="339" t="s">
        <v>409</v>
      </c>
      <c r="M2463" s="339" t="s">
        <v>409</v>
      </c>
      <c r="N2463" s="338" t="s">
        <v>417</v>
      </c>
      <c r="O2463" s="338" t="s">
        <v>409</v>
      </c>
      <c r="P2463" s="338" t="s">
        <v>443</v>
      </c>
    </row>
    <row r="2464" spans="2:16" x14ac:dyDescent="0.25">
      <c r="B2464" s="336" t="s">
        <v>416</v>
      </c>
      <c r="C2464" s="337">
        <v>39874</v>
      </c>
      <c r="D2464" s="338" t="s">
        <v>2820</v>
      </c>
      <c r="E2464" s="336" t="s">
        <v>4850</v>
      </c>
      <c r="F2464" s="338"/>
      <c r="G2464" s="338" t="s">
        <v>413</v>
      </c>
      <c r="H2464" s="338" t="s">
        <v>412</v>
      </c>
      <c r="I2464" s="338" t="s">
        <v>411</v>
      </c>
      <c r="J2464" s="339"/>
      <c r="K2464" s="339"/>
      <c r="L2464" s="339" t="s">
        <v>409</v>
      </c>
      <c r="M2464" s="339" t="s">
        <v>409</v>
      </c>
      <c r="N2464" s="338" t="s">
        <v>417</v>
      </c>
      <c r="O2464" s="338" t="s">
        <v>409</v>
      </c>
      <c r="P2464" s="338" t="s">
        <v>487</v>
      </c>
    </row>
    <row r="2465" spans="2:16" x14ac:dyDescent="0.25">
      <c r="B2465" s="336" t="s">
        <v>416</v>
      </c>
      <c r="C2465" s="337">
        <v>39874</v>
      </c>
      <c r="D2465" s="338" t="s">
        <v>4849</v>
      </c>
      <c r="E2465" s="336" t="s">
        <v>4848</v>
      </c>
      <c r="F2465" s="338" t="s">
        <v>4847</v>
      </c>
      <c r="G2465" s="338">
        <v>116.8</v>
      </c>
      <c r="H2465" s="338" t="s">
        <v>425</v>
      </c>
      <c r="I2465" s="338" t="s">
        <v>411</v>
      </c>
      <c r="J2465" s="339"/>
      <c r="K2465" s="339"/>
      <c r="L2465" s="339"/>
      <c r="M2465" s="339"/>
      <c r="N2465" s="338" t="s">
        <v>417</v>
      </c>
      <c r="O2465" s="338" t="s">
        <v>417</v>
      </c>
      <c r="P2465" s="338" t="s">
        <v>432</v>
      </c>
    </row>
    <row r="2466" spans="2:16" x14ac:dyDescent="0.25">
      <c r="B2466" s="336" t="s">
        <v>416</v>
      </c>
      <c r="C2466" s="337">
        <v>39871</v>
      </c>
      <c r="D2466" s="338" t="s">
        <v>4846</v>
      </c>
      <c r="E2466" s="336" t="s">
        <v>4845</v>
      </c>
      <c r="F2466" s="338" t="s">
        <v>4844</v>
      </c>
      <c r="G2466" s="338" t="s">
        <v>413</v>
      </c>
      <c r="H2466" s="338" t="s">
        <v>425</v>
      </c>
      <c r="I2466" s="338" t="s">
        <v>411</v>
      </c>
      <c r="J2466" s="339"/>
      <c r="K2466" s="339"/>
      <c r="L2466" s="339">
        <v>1.38164</v>
      </c>
      <c r="M2466" s="339">
        <v>11.3743</v>
      </c>
      <c r="N2466" s="338"/>
      <c r="O2466" s="338" t="s">
        <v>487</v>
      </c>
      <c r="P2466" s="338"/>
    </row>
    <row r="2467" spans="2:16" x14ac:dyDescent="0.25">
      <c r="B2467" s="336" t="s">
        <v>416</v>
      </c>
      <c r="C2467" s="337">
        <v>39870</v>
      </c>
      <c r="D2467" s="338" t="s">
        <v>956</v>
      </c>
      <c r="E2467" s="336" t="s">
        <v>3857</v>
      </c>
      <c r="F2467" s="338" t="s">
        <v>4843</v>
      </c>
      <c r="G2467" s="338" t="s">
        <v>413</v>
      </c>
      <c r="H2467" s="338" t="s">
        <v>425</v>
      </c>
      <c r="I2467" s="338" t="s">
        <v>411</v>
      </c>
      <c r="J2467" s="339"/>
      <c r="K2467" s="339"/>
      <c r="L2467" s="339"/>
      <c r="M2467" s="339"/>
      <c r="N2467" s="338"/>
      <c r="O2467" s="338" t="s">
        <v>885</v>
      </c>
      <c r="P2467" s="338" t="s">
        <v>417</v>
      </c>
    </row>
    <row r="2468" spans="2:16" x14ac:dyDescent="0.25">
      <c r="B2468" s="336" t="s">
        <v>416</v>
      </c>
      <c r="C2468" s="337">
        <v>39870</v>
      </c>
      <c r="D2468" s="338" t="s">
        <v>4842</v>
      </c>
      <c r="E2468" s="336" t="s">
        <v>4841</v>
      </c>
      <c r="F2468" s="338" t="s">
        <v>538</v>
      </c>
      <c r="G2468" s="338">
        <v>7</v>
      </c>
      <c r="H2468" s="338" t="s">
        <v>425</v>
      </c>
      <c r="I2468" s="338" t="s">
        <v>411</v>
      </c>
      <c r="J2468" s="339"/>
      <c r="K2468" s="339"/>
      <c r="L2468" s="339">
        <v>0.21088399999999999</v>
      </c>
      <c r="M2468" s="339">
        <v>238.93199999999999</v>
      </c>
      <c r="N2468" s="338" t="s">
        <v>487</v>
      </c>
      <c r="O2468" s="338" t="s">
        <v>417</v>
      </c>
      <c r="P2468" s="338"/>
    </row>
    <row r="2469" spans="2:16" x14ac:dyDescent="0.25">
      <c r="B2469" s="336" t="s">
        <v>416</v>
      </c>
      <c r="C2469" s="337">
        <v>39867</v>
      </c>
      <c r="D2469" s="338" t="s">
        <v>4840</v>
      </c>
      <c r="E2469" s="336" t="s">
        <v>2402</v>
      </c>
      <c r="F2469" s="338" t="s">
        <v>2764</v>
      </c>
      <c r="G2469" s="338">
        <v>83</v>
      </c>
      <c r="H2469" s="338" t="s">
        <v>425</v>
      </c>
      <c r="I2469" s="338" t="s">
        <v>411</v>
      </c>
      <c r="J2469" s="339"/>
      <c r="K2469" s="339"/>
      <c r="L2469" s="339">
        <v>2.5831599999999999</v>
      </c>
      <c r="M2469" s="339">
        <v>418.44600000000003</v>
      </c>
      <c r="N2469" s="338"/>
      <c r="O2469" s="338" t="s">
        <v>417</v>
      </c>
      <c r="P2469" s="338" t="s">
        <v>417</v>
      </c>
    </row>
    <row r="2470" spans="2:16" x14ac:dyDescent="0.25">
      <c r="B2470" s="336" t="s">
        <v>416</v>
      </c>
      <c r="C2470" s="337">
        <v>39864</v>
      </c>
      <c r="D2470" s="338" t="s">
        <v>4839</v>
      </c>
      <c r="E2470" s="336" t="s">
        <v>4838</v>
      </c>
      <c r="F2470" s="338" t="s">
        <v>4837</v>
      </c>
      <c r="G2470" s="338" t="s">
        <v>413</v>
      </c>
      <c r="H2470" s="338" t="s">
        <v>425</v>
      </c>
      <c r="I2470" s="338" t="s">
        <v>411</v>
      </c>
      <c r="J2470" s="339"/>
      <c r="K2470" s="339"/>
      <c r="L2470" s="339"/>
      <c r="M2470" s="339"/>
      <c r="N2470" s="338"/>
      <c r="O2470" s="338" t="s">
        <v>417</v>
      </c>
      <c r="P2470" s="338" t="s">
        <v>417</v>
      </c>
    </row>
    <row r="2471" spans="2:16" x14ac:dyDescent="0.25">
      <c r="B2471" s="336" t="s">
        <v>416</v>
      </c>
      <c r="C2471" s="337">
        <v>39862</v>
      </c>
      <c r="D2471" s="338" t="s">
        <v>4836</v>
      </c>
      <c r="E2471" s="336" t="s">
        <v>4835</v>
      </c>
      <c r="F2471" s="338"/>
      <c r="G2471" s="338" t="s">
        <v>413</v>
      </c>
      <c r="H2471" s="338" t="s">
        <v>425</v>
      </c>
      <c r="I2471" s="338" t="s">
        <v>411</v>
      </c>
      <c r="J2471" s="339"/>
      <c r="K2471" s="339"/>
      <c r="L2471" s="339" t="s">
        <v>409</v>
      </c>
      <c r="M2471" s="339" t="s">
        <v>409</v>
      </c>
      <c r="N2471" s="338"/>
      <c r="O2471" s="338" t="s">
        <v>409</v>
      </c>
      <c r="P2471" s="338" t="s">
        <v>417</v>
      </c>
    </row>
    <row r="2472" spans="2:16" x14ac:dyDescent="0.25">
      <c r="B2472" s="336" t="s">
        <v>1441</v>
      </c>
      <c r="C2472" s="337">
        <v>39861</v>
      </c>
      <c r="D2472" s="338" t="s">
        <v>4834</v>
      </c>
      <c r="E2472" s="336" t="s">
        <v>4833</v>
      </c>
      <c r="F2472" s="338"/>
      <c r="G2472" s="338" t="s">
        <v>413</v>
      </c>
      <c r="H2472" s="338" t="s">
        <v>412</v>
      </c>
      <c r="I2472" s="338" t="s">
        <v>411</v>
      </c>
      <c r="J2472" s="339"/>
      <c r="K2472" s="339"/>
      <c r="L2472" s="339" t="s">
        <v>409</v>
      </c>
      <c r="M2472" s="339" t="s">
        <v>409</v>
      </c>
      <c r="N2472" s="338" t="s">
        <v>417</v>
      </c>
      <c r="O2472" s="338" t="s">
        <v>409</v>
      </c>
      <c r="P2472" s="338" t="s">
        <v>605</v>
      </c>
    </row>
    <row r="2473" spans="2:16" x14ac:dyDescent="0.25">
      <c r="B2473" s="336" t="s">
        <v>416</v>
      </c>
      <c r="C2473" s="337">
        <v>39861</v>
      </c>
      <c r="D2473" s="338" t="s">
        <v>4832</v>
      </c>
      <c r="E2473" s="336" t="s">
        <v>4831</v>
      </c>
      <c r="F2473" s="338" t="s">
        <v>4830</v>
      </c>
      <c r="G2473" s="338">
        <v>25</v>
      </c>
      <c r="H2473" s="338" t="s">
        <v>425</v>
      </c>
      <c r="I2473" s="338" t="s">
        <v>411</v>
      </c>
      <c r="J2473" s="339"/>
      <c r="K2473" s="339"/>
      <c r="L2473" s="339"/>
      <c r="M2473" s="339"/>
      <c r="N2473" s="338" t="s">
        <v>417</v>
      </c>
      <c r="O2473" s="338" t="s">
        <v>543</v>
      </c>
      <c r="P2473" s="338" t="s">
        <v>410</v>
      </c>
    </row>
    <row r="2474" spans="2:16" x14ac:dyDescent="0.25">
      <c r="B2474" s="336" t="s">
        <v>416</v>
      </c>
      <c r="C2474" s="337">
        <v>39856</v>
      </c>
      <c r="D2474" s="338" t="s">
        <v>4829</v>
      </c>
      <c r="E2474" s="336" t="s">
        <v>472</v>
      </c>
      <c r="F2474" s="338" t="s">
        <v>4828</v>
      </c>
      <c r="G2474" s="338" t="s">
        <v>413</v>
      </c>
      <c r="H2474" s="338" t="s">
        <v>425</v>
      </c>
      <c r="I2474" s="338" t="s">
        <v>411</v>
      </c>
      <c r="J2474" s="339"/>
      <c r="K2474" s="339"/>
      <c r="L2474" s="339"/>
      <c r="M2474" s="339"/>
      <c r="N2474" s="338"/>
      <c r="O2474" s="338" t="s">
        <v>432</v>
      </c>
      <c r="P2474" s="338" t="s">
        <v>417</v>
      </c>
    </row>
    <row r="2475" spans="2:16" x14ac:dyDescent="0.25">
      <c r="B2475" s="336" t="s">
        <v>416</v>
      </c>
      <c r="C2475" s="337">
        <v>39856</v>
      </c>
      <c r="D2475" s="338" t="s">
        <v>4059</v>
      </c>
      <c r="E2475" s="336" t="s">
        <v>4058</v>
      </c>
      <c r="F2475" s="338" t="s">
        <v>2586</v>
      </c>
      <c r="G2475" s="338">
        <v>171.8</v>
      </c>
      <c r="H2475" s="338" t="s">
        <v>429</v>
      </c>
      <c r="I2475" s="338" t="s">
        <v>411</v>
      </c>
      <c r="J2475" s="339"/>
      <c r="K2475" s="339"/>
      <c r="L2475" s="339">
        <v>3.8223400000000001</v>
      </c>
      <c r="M2475" s="339">
        <v>10.3803</v>
      </c>
      <c r="N2475" s="338" t="s">
        <v>417</v>
      </c>
      <c r="O2475" s="338" t="s">
        <v>417</v>
      </c>
      <c r="P2475" s="338" t="s">
        <v>443</v>
      </c>
    </row>
    <row r="2476" spans="2:16" x14ac:dyDescent="0.25">
      <c r="B2476" s="336" t="s">
        <v>459</v>
      </c>
      <c r="C2476" s="337">
        <v>39855</v>
      </c>
      <c r="D2476" s="338" t="s">
        <v>4827</v>
      </c>
      <c r="E2476" s="336" t="s">
        <v>3319</v>
      </c>
      <c r="F2476" s="338"/>
      <c r="G2476" s="338" t="s">
        <v>413</v>
      </c>
      <c r="H2476" s="338" t="s">
        <v>425</v>
      </c>
      <c r="I2476" s="338" t="s">
        <v>411</v>
      </c>
      <c r="J2476" s="339"/>
      <c r="K2476" s="339"/>
      <c r="L2476" s="339" t="s">
        <v>409</v>
      </c>
      <c r="M2476" s="339" t="s">
        <v>409</v>
      </c>
      <c r="N2476" s="338"/>
      <c r="O2476" s="338" t="s">
        <v>409</v>
      </c>
      <c r="P2476" s="338" t="s">
        <v>432</v>
      </c>
    </row>
    <row r="2477" spans="2:16" x14ac:dyDescent="0.25">
      <c r="B2477" s="336" t="s">
        <v>459</v>
      </c>
      <c r="C2477" s="337">
        <v>39854</v>
      </c>
      <c r="D2477" s="338" t="s">
        <v>1078</v>
      </c>
      <c r="E2477" s="336" t="s">
        <v>1077</v>
      </c>
      <c r="F2477" s="338"/>
      <c r="G2477" s="338" t="s">
        <v>413</v>
      </c>
      <c r="H2477" s="338" t="s">
        <v>425</v>
      </c>
      <c r="I2477" s="338" t="s">
        <v>411</v>
      </c>
      <c r="J2477" s="339"/>
      <c r="K2477" s="339"/>
      <c r="L2477" s="339" t="s">
        <v>409</v>
      </c>
      <c r="M2477" s="339" t="s">
        <v>409</v>
      </c>
      <c r="N2477" s="338" t="s">
        <v>417</v>
      </c>
      <c r="O2477" s="338" t="s">
        <v>409</v>
      </c>
      <c r="P2477" s="338"/>
    </row>
    <row r="2478" spans="2:16" x14ac:dyDescent="0.25">
      <c r="B2478" s="336" t="s">
        <v>459</v>
      </c>
      <c r="C2478" s="337">
        <v>39854</v>
      </c>
      <c r="D2478" s="338" t="s">
        <v>558</v>
      </c>
      <c r="E2478" s="336" t="s">
        <v>2715</v>
      </c>
      <c r="F2478" s="338"/>
      <c r="G2478" s="338">
        <v>20</v>
      </c>
      <c r="H2478" s="338" t="s">
        <v>425</v>
      </c>
      <c r="I2478" s="338" t="s">
        <v>411</v>
      </c>
      <c r="J2478" s="339"/>
      <c r="K2478" s="339"/>
      <c r="L2478" s="339" t="s">
        <v>409</v>
      </c>
      <c r="M2478" s="339" t="s">
        <v>409</v>
      </c>
      <c r="N2478" s="338" t="s">
        <v>417</v>
      </c>
      <c r="O2478" s="338" t="s">
        <v>409</v>
      </c>
      <c r="P2478" s="338"/>
    </row>
    <row r="2479" spans="2:16" x14ac:dyDescent="0.25">
      <c r="B2479" s="336" t="s">
        <v>416</v>
      </c>
      <c r="C2479" s="337">
        <v>39850</v>
      </c>
      <c r="D2479" s="338" t="s">
        <v>552</v>
      </c>
      <c r="E2479" s="336" t="s">
        <v>4826</v>
      </c>
      <c r="F2479" s="338" t="s">
        <v>1709</v>
      </c>
      <c r="G2479" s="338" t="s">
        <v>413</v>
      </c>
      <c r="H2479" s="338" t="s">
        <v>425</v>
      </c>
      <c r="I2479" s="338" t="s">
        <v>411</v>
      </c>
      <c r="J2479" s="339"/>
      <c r="K2479" s="339"/>
      <c r="L2479" s="339"/>
      <c r="M2479" s="339"/>
      <c r="N2479" s="338"/>
      <c r="O2479" s="338" t="s">
        <v>417</v>
      </c>
      <c r="P2479" s="338"/>
    </row>
    <row r="2480" spans="2:16" x14ac:dyDescent="0.25">
      <c r="B2480" s="336" t="s">
        <v>416</v>
      </c>
      <c r="C2480" s="337">
        <v>39849</v>
      </c>
      <c r="D2480" s="338" t="s">
        <v>956</v>
      </c>
      <c r="E2480" s="336" t="s">
        <v>4825</v>
      </c>
      <c r="F2480" s="338" t="s">
        <v>3697</v>
      </c>
      <c r="G2480" s="338">
        <v>3</v>
      </c>
      <c r="H2480" s="338" t="s">
        <v>425</v>
      </c>
      <c r="I2480" s="338" t="s">
        <v>411</v>
      </c>
      <c r="J2480" s="339"/>
      <c r="K2480" s="339"/>
      <c r="L2480" s="339"/>
      <c r="M2480" s="339"/>
      <c r="N2480" s="338"/>
      <c r="O2480" s="338" t="s">
        <v>417</v>
      </c>
      <c r="P2480" s="338" t="s">
        <v>417</v>
      </c>
    </row>
    <row r="2481" spans="2:16" x14ac:dyDescent="0.25">
      <c r="B2481" s="336" t="s">
        <v>416</v>
      </c>
      <c r="C2481" s="337">
        <v>39849</v>
      </c>
      <c r="D2481" s="338" t="s">
        <v>4824</v>
      </c>
      <c r="E2481" s="336" t="s">
        <v>1619</v>
      </c>
      <c r="F2481" s="338" t="s">
        <v>925</v>
      </c>
      <c r="G2481" s="338" t="s">
        <v>413</v>
      </c>
      <c r="H2481" s="338" t="s">
        <v>425</v>
      </c>
      <c r="I2481" s="338" t="s">
        <v>411</v>
      </c>
      <c r="J2481" s="339"/>
      <c r="K2481" s="339"/>
      <c r="L2481" s="339">
        <v>0.45242500000000002</v>
      </c>
      <c r="M2481" s="339">
        <v>8.8139199999999995</v>
      </c>
      <c r="N2481" s="338"/>
      <c r="O2481" s="338" t="s">
        <v>417</v>
      </c>
      <c r="P2481" s="338" t="s">
        <v>417</v>
      </c>
    </row>
    <row r="2482" spans="2:16" x14ac:dyDescent="0.25">
      <c r="B2482" s="336" t="s">
        <v>416</v>
      </c>
      <c r="C2482" s="337">
        <v>39848</v>
      </c>
      <c r="D2482" s="338" t="s">
        <v>4823</v>
      </c>
      <c r="E2482" s="336" t="s">
        <v>422</v>
      </c>
      <c r="F2482" s="338" t="s">
        <v>4819</v>
      </c>
      <c r="G2482" s="338">
        <v>1.85</v>
      </c>
      <c r="H2482" s="338" t="s">
        <v>336</v>
      </c>
      <c r="I2482" s="338" t="s">
        <v>411</v>
      </c>
      <c r="J2482" s="339"/>
      <c r="K2482" s="339"/>
      <c r="L2482" s="339"/>
      <c r="M2482" s="339"/>
      <c r="N2482" s="338"/>
      <c r="O2482" s="338" t="s">
        <v>410</v>
      </c>
      <c r="P2482" s="338" t="s">
        <v>417</v>
      </c>
    </row>
    <row r="2483" spans="2:16" x14ac:dyDescent="0.25">
      <c r="B2483" s="336" t="s">
        <v>416</v>
      </c>
      <c r="C2483" s="337">
        <v>39848</v>
      </c>
      <c r="D2483" s="338" t="s">
        <v>4822</v>
      </c>
      <c r="E2483" s="336" t="s">
        <v>4821</v>
      </c>
      <c r="F2483" s="338" t="s">
        <v>4820</v>
      </c>
      <c r="G2483" s="338" t="s">
        <v>413</v>
      </c>
      <c r="H2483" s="338" t="s">
        <v>412</v>
      </c>
      <c r="I2483" s="338" t="s">
        <v>411</v>
      </c>
      <c r="J2483" s="339"/>
      <c r="K2483" s="339"/>
      <c r="L2483" s="339">
        <v>2.7734999999999999</v>
      </c>
      <c r="M2483" s="339">
        <v>8.3664400000000008</v>
      </c>
      <c r="N2483" s="338" t="s">
        <v>417</v>
      </c>
      <c r="O2483" s="338" t="s">
        <v>432</v>
      </c>
      <c r="P2483" s="338" t="s">
        <v>443</v>
      </c>
    </row>
    <row r="2484" spans="2:16" x14ac:dyDescent="0.25">
      <c r="B2484" s="336" t="s">
        <v>459</v>
      </c>
      <c r="C2484" s="337">
        <v>39848</v>
      </c>
      <c r="D2484" s="338" t="s">
        <v>422</v>
      </c>
      <c r="E2484" s="336" t="s">
        <v>4819</v>
      </c>
      <c r="F2484" s="338"/>
      <c r="G2484" s="338">
        <v>3.87</v>
      </c>
      <c r="H2484" s="338" t="s">
        <v>425</v>
      </c>
      <c r="I2484" s="338" t="s">
        <v>411</v>
      </c>
      <c r="J2484" s="339">
        <v>0.18251100000000001</v>
      </c>
      <c r="K2484" s="339"/>
      <c r="L2484" s="339" t="s">
        <v>409</v>
      </c>
      <c r="M2484" s="339" t="s">
        <v>409</v>
      </c>
      <c r="N2484" s="338" t="s">
        <v>417</v>
      </c>
      <c r="O2484" s="338" t="s">
        <v>409</v>
      </c>
      <c r="P2484" s="338" t="s">
        <v>410</v>
      </c>
    </row>
    <row r="2485" spans="2:16" x14ac:dyDescent="0.25">
      <c r="B2485" s="336" t="s">
        <v>416</v>
      </c>
      <c r="C2485" s="337">
        <v>39847</v>
      </c>
      <c r="D2485" s="338" t="s">
        <v>4818</v>
      </c>
      <c r="E2485" s="336" t="s">
        <v>4817</v>
      </c>
      <c r="F2485" s="338" t="s">
        <v>1032</v>
      </c>
      <c r="G2485" s="338" t="s">
        <v>413</v>
      </c>
      <c r="H2485" s="338" t="s">
        <v>425</v>
      </c>
      <c r="I2485" s="338" t="s">
        <v>411</v>
      </c>
      <c r="J2485" s="339"/>
      <c r="K2485" s="339"/>
      <c r="L2485" s="339">
        <v>2.6935500000000001</v>
      </c>
      <c r="M2485" s="339">
        <v>12.8904</v>
      </c>
      <c r="N2485" s="338"/>
      <c r="O2485" s="338" t="s">
        <v>417</v>
      </c>
      <c r="P2485" s="338" t="s">
        <v>417</v>
      </c>
    </row>
    <row r="2486" spans="2:16" x14ac:dyDescent="0.25">
      <c r="B2486" s="336" t="s">
        <v>459</v>
      </c>
      <c r="C2486" s="337">
        <v>39847</v>
      </c>
      <c r="D2486" s="338" t="s">
        <v>4816</v>
      </c>
      <c r="E2486" s="336" t="s">
        <v>939</v>
      </c>
      <c r="F2486" s="338"/>
      <c r="G2486" s="338" t="s">
        <v>413</v>
      </c>
      <c r="H2486" s="338" t="s">
        <v>425</v>
      </c>
      <c r="I2486" s="338" t="s">
        <v>411</v>
      </c>
      <c r="J2486" s="339"/>
      <c r="K2486" s="339"/>
      <c r="L2486" s="339" t="s">
        <v>409</v>
      </c>
      <c r="M2486" s="339" t="s">
        <v>409</v>
      </c>
      <c r="N2486" s="338" t="s">
        <v>417</v>
      </c>
      <c r="O2486" s="338" t="s">
        <v>409</v>
      </c>
      <c r="P2486" s="338"/>
    </row>
    <row r="2487" spans="2:16" x14ac:dyDescent="0.25">
      <c r="B2487" s="336" t="s">
        <v>416</v>
      </c>
      <c r="C2487" s="337">
        <v>39846</v>
      </c>
      <c r="D2487" s="338" t="s">
        <v>4815</v>
      </c>
      <c r="E2487" s="336" t="s">
        <v>4814</v>
      </c>
      <c r="F2487" s="338" t="s">
        <v>4813</v>
      </c>
      <c r="G2487" s="338" t="s">
        <v>413</v>
      </c>
      <c r="H2487" s="338" t="s">
        <v>425</v>
      </c>
      <c r="I2487" s="338" t="s">
        <v>411</v>
      </c>
      <c r="J2487" s="339"/>
      <c r="K2487" s="339"/>
      <c r="L2487" s="339"/>
      <c r="M2487" s="339"/>
      <c r="N2487" s="338"/>
      <c r="O2487" s="338" t="s">
        <v>417</v>
      </c>
      <c r="P2487" s="338" t="s">
        <v>417</v>
      </c>
    </row>
    <row r="2488" spans="2:16" x14ac:dyDescent="0.25">
      <c r="B2488" s="336" t="s">
        <v>416</v>
      </c>
      <c r="C2488" s="337">
        <v>39843</v>
      </c>
      <c r="D2488" s="338" t="s">
        <v>4812</v>
      </c>
      <c r="E2488" s="336" t="s">
        <v>3098</v>
      </c>
      <c r="F2488" s="338"/>
      <c r="G2488" s="338" t="s">
        <v>413</v>
      </c>
      <c r="H2488" s="338" t="s">
        <v>412</v>
      </c>
      <c r="I2488" s="338" t="s">
        <v>411</v>
      </c>
      <c r="J2488" s="339"/>
      <c r="K2488" s="339"/>
      <c r="L2488" s="339" t="s">
        <v>409</v>
      </c>
      <c r="M2488" s="339" t="s">
        <v>409</v>
      </c>
      <c r="N2488" s="338" t="s">
        <v>408</v>
      </c>
      <c r="O2488" s="338" t="s">
        <v>409</v>
      </c>
      <c r="P2488" s="338" t="s">
        <v>417</v>
      </c>
    </row>
    <row r="2489" spans="2:16" x14ac:dyDescent="0.25">
      <c r="B2489" s="336" t="s">
        <v>416</v>
      </c>
      <c r="C2489" s="337">
        <v>39840</v>
      </c>
      <c r="D2489" s="338" t="s">
        <v>4811</v>
      </c>
      <c r="E2489" s="336" t="s">
        <v>4810</v>
      </c>
      <c r="F2489" s="338" t="s">
        <v>1281</v>
      </c>
      <c r="G2489" s="338">
        <v>50</v>
      </c>
      <c r="H2489" s="338" t="s">
        <v>425</v>
      </c>
      <c r="I2489" s="338" t="s">
        <v>411</v>
      </c>
      <c r="J2489" s="339"/>
      <c r="K2489" s="339"/>
      <c r="L2489" s="339">
        <v>4.1428000000000003</v>
      </c>
      <c r="M2489" s="339">
        <v>13.5078</v>
      </c>
      <c r="N2489" s="338"/>
      <c r="O2489" s="338" t="s">
        <v>605</v>
      </c>
      <c r="P2489" s="338" t="s">
        <v>417</v>
      </c>
    </row>
    <row r="2490" spans="2:16" x14ac:dyDescent="0.25">
      <c r="B2490" s="336" t="s">
        <v>416</v>
      </c>
      <c r="C2490" s="337">
        <v>39839</v>
      </c>
      <c r="D2490" s="338" t="s">
        <v>4809</v>
      </c>
      <c r="E2490" s="336" t="s">
        <v>4338</v>
      </c>
      <c r="F2490" s="338"/>
      <c r="G2490" s="338" t="s">
        <v>413</v>
      </c>
      <c r="H2490" s="338" t="s">
        <v>412</v>
      </c>
      <c r="I2490" s="338" t="s">
        <v>411</v>
      </c>
      <c r="J2490" s="339"/>
      <c r="K2490" s="339"/>
      <c r="L2490" s="339" t="s">
        <v>409</v>
      </c>
      <c r="M2490" s="339" t="s">
        <v>409</v>
      </c>
      <c r="N2490" s="338" t="s">
        <v>410</v>
      </c>
      <c r="O2490" s="338" t="s">
        <v>409</v>
      </c>
      <c r="P2490" s="338" t="s">
        <v>417</v>
      </c>
    </row>
    <row r="2491" spans="2:16" x14ac:dyDescent="0.25">
      <c r="B2491" s="336" t="s">
        <v>416</v>
      </c>
      <c r="C2491" s="337">
        <v>39836</v>
      </c>
      <c r="D2491" s="338" t="s">
        <v>4808</v>
      </c>
      <c r="E2491" s="336" t="s">
        <v>1421</v>
      </c>
      <c r="F2491" s="338" t="s">
        <v>4807</v>
      </c>
      <c r="G2491" s="338" t="s">
        <v>413</v>
      </c>
      <c r="H2491" s="338" t="s">
        <v>425</v>
      </c>
      <c r="I2491" s="338" t="s">
        <v>411</v>
      </c>
      <c r="J2491" s="339"/>
      <c r="K2491" s="339"/>
      <c r="L2491" s="339"/>
      <c r="M2491" s="339"/>
      <c r="N2491" s="338" t="s">
        <v>410</v>
      </c>
      <c r="O2491" s="338" t="s">
        <v>410</v>
      </c>
      <c r="P2491" s="338" t="s">
        <v>417</v>
      </c>
    </row>
    <row r="2492" spans="2:16" x14ac:dyDescent="0.25">
      <c r="B2492" s="336" t="s">
        <v>416</v>
      </c>
      <c r="C2492" s="337">
        <v>39836</v>
      </c>
      <c r="D2492" s="338" t="s">
        <v>4806</v>
      </c>
      <c r="E2492" s="336" t="s">
        <v>4805</v>
      </c>
      <c r="F2492" s="338" t="s">
        <v>4804</v>
      </c>
      <c r="G2492" s="338" t="s">
        <v>413</v>
      </c>
      <c r="H2492" s="338" t="s">
        <v>425</v>
      </c>
      <c r="I2492" s="338" t="s">
        <v>411</v>
      </c>
      <c r="J2492" s="339"/>
      <c r="K2492" s="339"/>
      <c r="L2492" s="339"/>
      <c r="M2492" s="339"/>
      <c r="N2492" s="338"/>
      <c r="O2492" s="338" t="s">
        <v>487</v>
      </c>
      <c r="P2492" s="338" t="s">
        <v>410</v>
      </c>
    </row>
    <row r="2493" spans="2:16" x14ac:dyDescent="0.25">
      <c r="B2493" s="336" t="s">
        <v>416</v>
      </c>
      <c r="C2493" s="337">
        <v>39836</v>
      </c>
      <c r="D2493" s="338" t="s">
        <v>4803</v>
      </c>
      <c r="E2493" s="336" t="s">
        <v>1600</v>
      </c>
      <c r="F2493" s="338" t="s">
        <v>831</v>
      </c>
      <c r="G2493" s="338">
        <v>59</v>
      </c>
      <c r="H2493" s="338" t="s">
        <v>425</v>
      </c>
      <c r="I2493" s="338" t="s">
        <v>411</v>
      </c>
      <c r="J2493" s="339"/>
      <c r="K2493" s="339"/>
      <c r="L2493" s="339">
        <v>1.53552</v>
      </c>
      <c r="M2493" s="339">
        <v>11.0791</v>
      </c>
      <c r="N2493" s="338"/>
      <c r="O2493" s="338" t="s">
        <v>417</v>
      </c>
      <c r="P2493" s="338" t="s">
        <v>443</v>
      </c>
    </row>
    <row r="2494" spans="2:16" x14ac:dyDescent="0.25">
      <c r="B2494" s="336" t="s">
        <v>459</v>
      </c>
      <c r="C2494" s="337">
        <v>39835</v>
      </c>
      <c r="D2494" s="338" t="s">
        <v>4802</v>
      </c>
      <c r="E2494" s="336" t="s">
        <v>4801</v>
      </c>
      <c r="F2494" s="338"/>
      <c r="G2494" s="338" t="s">
        <v>413</v>
      </c>
      <c r="H2494" s="338" t="s">
        <v>412</v>
      </c>
      <c r="I2494" s="338" t="s">
        <v>411</v>
      </c>
      <c r="J2494" s="339"/>
      <c r="K2494" s="339"/>
      <c r="L2494" s="339" t="s">
        <v>409</v>
      </c>
      <c r="M2494" s="339" t="s">
        <v>409</v>
      </c>
      <c r="N2494" s="338" t="s">
        <v>417</v>
      </c>
      <c r="O2494" s="338" t="s">
        <v>409</v>
      </c>
      <c r="P2494" s="338" t="s">
        <v>543</v>
      </c>
    </row>
    <row r="2495" spans="2:16" x14ac:dyDescent="0.25">
      <c r="B2495" s="336" t="s">
        <v>459</v>
      </c>
      <c r="C2495" s="337">
        <v>39835</v>
      </c>
      <c r="D2495" s="338" t="s">
        <v>4800</v>
      </c>
      <c r="E2495" s="336" t="s">
        <v>4799</v>
      </c>
      <c r="F2495" s="338"/>
      <c r="G2495" s="338">
        <v>10</v>
      </c>
      <c r="H2495" s="338" t="s">
        <v>425</v>
      </c>
      <c r="I2495" s="338" t="s">
        <v>411</v>
      </c>
      <c r="J2495" s="339"/>
      <c r="K2495" s="339"/>
      <c r="L2495" s="339" t="s">
        <v>409</v>
      </c>
      <c r="M2495" s="339" t="s">
        <v>409</v>
      </c>
      <c r="N2495" s="338" t="s">
        <v>432</v>
      </c>
      <c r="O2495" s="338" t="s">
        <v>409</v>
      </c>
      <c r="P2495" s="338"/>
    </row>
    <row r="2496" spans="2:16" x14ac:dyDescent="0.25">
      <c r="B2496" s="336" t="s">
        <v>416</v>
      </c>
      <c r="C2496" s="337">
        <v>39833</v>
      </c>
      <c r="D2496" s="338" t="s">
        <v>4122</v>
      </c>
      <c r="E2496" s="336" t="s">
        <v>514</v>
      </c>
      <c r="F2496" s="338" t="s">
        <v>4121</v>
      </c>
      <c r="G2496" s="338" t="s">
        <v>413</v>
      </c>
      <c r="H2496" s="338" t="s">
        <v>425</v>
      </c>
      <c r="I2496" s="338" t="s">
        <v>411</v>
      </c>
      <c r="J2496" s="339"/>
      <c r="K2496" s="339"/>
      <c r="L2496" s="339"/>
      <c r="M2496" s="339"/>
      <c r="N2496" s="338" t="s">
        <v>417</v>
      </c>
      <c r="O2496" s="338" t="s">
        <v>543</v>
      </c>
      <c r="P2496" s="338"/>
    </row>
    <row r="2497" spans="2:16" x14ac:dyDescent="0.25">
      <c r="B2497" s="336" t="s">
        <v>416</v>
      </c>
      <c r="C2497" s="337">
        <v>39833</v>
      </c>
      <c r="D2497" s="338" t="s">
        <v>956</v>
      </c>
      <c r="E2497" s="336" t="s">
        <v>834</v>
      </c>
      <c r="F2497" s="338" t="s">
        <v>953</v>
      </c>
      <c r="G2497" s="338" t="s">
        <v>413</v>
      </c>
      <c r="H2497" s="338" t="s">
        <v>425</v>
      </c>
      <c r="I2497" s="338" t="s">
        <v>411</v>
      </c>
      <c r="J2497" s="339"/>
      <c r="K2497" s="339"/>
      <c r="L2497" s="339">
        <v>0.56808199999999998</v>
      </c>
      <c r="M2497" s="339"/>
      <c r="N2497" s="338"/>
      <c r="O2497" s="338" t="s">
        <v>417</v>
      </c>
      <c r="P2497" s="338" t="s">
        <v>417</v>
      </c>
    </row>
    <row r="2498" spans="2:16" x14ac:dyDescent="0.25">
      <c r="B2498" s="336" t="s">
        <v>416</v>
      </c>
      <c r="C2498" s="337">
        <v>39833</v>
      </c>
      <c r="D2498" s="338" t="s">
        <v>4798</v>
      </c>
      <c r="E2498" s="336" t="s">
        <v>4797</v>
      </c>
      <c r="F2498" s="338"/>
      <c r="G2498" s="338" t="s">
        <v>413</v>
      </c>
      <c r="H2498" s="338" t="s">
        <v>412</v>
      </c>
      <c r="I2498" s="338" t="s">
        <v>411</v>
      </c>
      <c r="J2498" s="339"/>
      <c r="K2498" s="339"/>
      <c r="L2498" s="339" t="s">
        <v>409</v>
      </c>
      <c r="M2498" s="339" t="s">
        <v>409</v>
      </c>
      <c r="N2498" s="338" t="s">
        <v>417</v>
      </c>
      <c r="O2498" s="338" t="s">
        <v>409</v>
      </c>
      <c r="P2498" s="338" t="s">
        <v>432</v>
      </c>
    </row>
    <row r="2499" spans="2:16" x14ac:dyDescent="0.25">
      <c r="B2499" s="336" t="s">
        <v>416</v>
      </c>
      <c r="C2499" s="337">
        <v>39833</v>
      </c>
      <c r="D2499" s="338" t="s">
        <v>4796</v>
      </c>
      <c r="E2499" s="336" t="s">
        <v>1452</v>
      </c>
      <c r="F2499" s="338"/>
      <c r="G2499" s="338" t="s">
        <v>413</v>
      </c>
      <c r="H2499" s="338" t="s">
        <v>425</v>
      </c>
      <c r="I2499" s="338" t="s">
        <v>411</v>
      </c>
      <c r="J2499" s="339"/>
      <c r="K2499" s="339"/>
      <c r="L2499" s="339" t="s">
        <v>409</v>
      </c>
      <c r="M2499" s="339" t="s">
        <v>409</v>
      </c>
      <c r="N2499" s="338"/>
      <c r="O2499" s="338" t="s">
        <v>409</v>
      </c>
      <c r="P2499" s="338" t="s">
        <v>417</v>
      </c>
    </row>
    <row r="2500" spans="2:16" x14ac:dyDescent="0.25">
      <c r="B2500" s="336" t="s">
        <v>416</v>
      </c>
      <c r="C2500" s="337">
        <v>39832</v>
      </c>
      <c r="D2500" s="338" t="s">
        <v>4795</v>
      </c>
      <c r="E2500" s="336" t="s">
        <v>4794</v>
      </c>
      <c r="F2500" s="338"/>
      <c r="G2500" s="338">
        <v>0.43</v>
      </c>
      <c r="H2500" s="338" t="s">
        <v>336</v>
      </c>
      <c r="I2500" s="338" t="s">
        <v>411</v>
      </c>
      <c r="J2500" s="339"/>
      <c r="K2500" s="339"/>
      <c r="L2500" s="339" t="s">
        <v>409</v>
      </c>
      <c r="M2500" s="339" t="s">
        <v>409</v>
      </c>
      <c r="N2500" s="338" t="s">
        <v>417</v>
      </c>
      <c r="O2500" s="338" t="s">
        <v>409</v>
      </c>
      <c r="P2500" s="338" t="s">
        <v>417</v>
      </c>
    </row>
    <row r="2501" spans="2:16" x14ac:dyDescent="0.25">
      <c r="B2501" s="336" t="s">
        <v>416</v>
      </c>
      <c r="C2501" s="337">
        <v>39832</v>
      </c>
      <c r="D2501" s="338" t="s">
        <v>4793</v>
      </c>
      <c r="E2501" s="336" t="s">
        <v>3210</v>
      </c>
      <c r="F2501" s="338"/>
      <c r="G2501" s="338" t="s">
        <v>413</v>
      </c>
      <c r="H2501" s="338" t="s">
        <v>425</v>
      </c>
      <c r="I2501" s="338" t="s">
        <v>411</v>
      </c>
      <c r="J2501" s="339"/>
      <c r="K2501" s="339"/>
      <c r="L2501" s="339" t="s">
        <v>409</v>
      </c>
      <c r="M2501" s="339" t="s">
        <v>409</v>
      </c>
      <c r="N2501" s="338" t="s">
        <v>417</v>
      </c>
      <c r="O2501" s="338" t="s">
        <v>409</v>
      </c>
      <c r="P2501" s="338" t="s">
        <v>443</v>
      </c>
    </row>
    <row r="2502" spans="2:16" x14ac:dyDescent="0.25">
      <c r="B2502" s="336" t="s">
        <v>416</v>
      </c>
      <c r="C2502" s="337">
        <v>39829</v>
      </c>
      <c r="D2502" s="338" t="s">
        <v>4792</v>
      </c>
      <c r="E2502" s="336" t="s">
        <v>948</v>
      </c>
      <c r="F2502" s="338" t="s">
        <v>4791</v>
      </c>
      <c r="G2502" s="338">
        <v>1.62</v>
      </c>
      <c r="H2502" s="338" t="s">
        <v>425</v>
      </c>
      <c r="I2502" s="338" t="s">
        <v>411</v>
      </c>
      <c r="J2502" s="339"/>
      <c r="K2502" s="339"/>
      <c r="L2502" s="339">
        <v>0.89049400000000001</v>
      </c>
      <c r="M2502" s="339"/>
      <c r="N2502" s="338"/>
      <c r="O2502" s="338" t="s">
        <v>410</v>
      </c>
      <c r="P2502" s="338" t="s">
        <v>417</v>
      </c>
    </row>
    <row r="2503" spans="2:16" x14ac:dyDescent="0.25">
      <c r="B2503" s="336" t="s">
        <v>541</v>
      </c>
      <c r="C2503" s="337">
        <v>39828</v>
      </c>
      <c r="D2503" s="338" t="s">
        <v>3901</v>
      </c>
      <c r="E2503" s="336" t="s">
        <v>539</v>
      </c>
      <c r="F2503" s="338" t="s">
        <v>4790</v>
      </c>
      <c r="G2503" s="338" t="s">
        <v>413</v>
      </c>
      <c r="H2503" s="338"/>
      <c r="I2503" s="338" t="s">
        <v>411</v>
      </c>
      <c r="J2503" s="339">
        <v>3.2259500000000001</v>
      </c>
      <c r="K2503" s="339">
        <v>15.357699999999999</v>
      </c>
      <c r="L2503" s="339"/>
      <c r="M2503" s="339"/>
      <c r="N2503" s="338" t="s">
        <v>417</v>
      </c>
      <c r="O2503" s="338" t="s">
        <v>2471</v>
      </c>
      <c r="P2503" s="338" t="s">
        <v>409</v>
      </c>
    </row>
    <row r="2504" spans="2:16" x14ac:dyDescent="0.25">
      <c r="B2504" s="336" t="s">
        <v>416</v>
      </c>
      <c r="C2504" s="337">
        <v>39827</v>
      </c>
      <c r="D2504" s="338" t="s">
        <v>4789</v>
      </c>
      <c r="E2504" s="336" t="s">
        <v>1959</v>
      </c>
      <c r="F2504" s="338" t="s">
        <v>1032</v>
      </c>
      <c r="G2504" s="338">
        <v>14.4</v>
      </c>
      <c r="H2504" s="338" t="s">
        <v>425</v>
      </c>
      <c r="I2504" s="338" t="s">
        <v>411</v>
      </c>
      <c r="J2504" s="339"/>
      <c r="K2504" s="339"/>
      <c r="L2504" s="339">
        <v>2.6935500000000001</v>
      </c>
      <c r="M2504" s="339">
        <v>12.8904</v>
      </c>
      <c r="N2504" s="338"/>
      <c r="O2504" s="338" t="s">
        <v>417</v>
      </c>
      <c r="P2504" s="338" t="s">
        <v>443</v>
      </c>
    </row>
    <row r="2505" spans="2:16" x14ac:dyDescent="0.25">
      <c r="B2505" s="336" t="s">
        <v>416</v>
      </c>
      <c r="C2505" s="337">
        <v>39827</v>
      </c>
      <c r="D2505" s="338" t="s">
        <v>4788</v>
      </c>
      <c r="E2505" s="336" t="s">
        <v>4787</v>
      </c>
      <c r="F2505" s="338"/>
      <c r="G2505" s="338" t="s">
        <v>413</v>
      </c>
      <c r="H2505" s="338" t="s">
        <v>412</v>
      </c>
      <c r="I2505" s="338" t="s">
        <v>411</v>
      </c>
      <c r="J2505" s="339"/>
      <c r="K2505" s="339"/>
      <c r="L2505" s="339" t="s">
        <v>409</v>
      </c>
      <c r="M2505" s="339" t="s">
        <v>409</v>
      </c>
      <c r="N2505" s="338"/>
      <c r="O2505" s="338" t="s">
        <v>409</v>
      </c>
      <c r="P2505" s="338" t="s">
        <v>432</v>
      </c>
    </row>
    <row r="2506" spans="2:16" x14ac:dyDescent="0.25">
      <c r="B2506" s="336" t="s">
        <v>416</v>
      </c>
      <c r="C2506" s="337">
        <v>39827</v>
      </c>
      <c r="D2506" s="338" t="s">
        <v>4786</v>
      </c>
      <c r="E2506" s="336" t="s">
        <v>4785</v>
      </c>
      <c r="F2506" s="338" t="s">
        <v>1121</v>
      </c>
      <c r="G2506" s="338" t="s">
        <v>413</v>
      </c>
      <c r="H2506" s="338" t="s">
        <v>425</v>
      </c>
      <c r="I2506" s="338" t="s">
        <v>411</v>
      </c>
      <c r="J2506" s="339"/>
      <c r="K2506" s="339"/>
      <c r="L2506" s="339">
        <v>0.50222599999999995</v>
      </c>
      <c r="M2506" s="339"/>
      <c r="N2506" s="338"/>
      <c r="O2506" s="338" t="s">
        <v>417</v>
      </c>
      <c r="P2506" s="338" t="s">
        <v>410</v>
      </c>
    </row>
    <row r="2507" spans="2:16" x14ac:dyDescent="0.25">
      <c r="B2507" s="336" t="s">
        <v>416</v>
      </c>
      <c r="C2507" s="337">
        <v>39827</v>
      </c>
      <c r="D2507" s="338" t="s">
        <v>4784</v>
      </c>
      <c r="E2507" s="336" t="s">
        <v>4783</v>
      </c>
      <c r="F2507" s="338"/>
      <c r="G2507" s="338" t="s">
        <v>413</v>
      </c>
      <c r="H2507" s="338" t="s">
        <v>412</v>
      </c>
      <c r="I2507" s="338" t="s">
        <v>411</v>
      </c>
      <c r="J2507" s="339"/>
      <c r="K2507" s="339"/>
      <c r="L2507" s="339" t="s">
        <v>409</v>
      </c>
      <c r="M2507" s="339" t="s">
        <v>409</v>
      </c>
      <c r="N2507" s="338" t="s">
        <v>417</v>
      </c>
      <c r="O2507" s="338" t="s">
        <v>409</v>
      </c>
      <c r="P2507" s="338" t="s">
        <v>417</v>
      </c>
    </row>
    <row r="2508" spans="2:16" x14ac:dyDescent="0.25">
      <c r="B2508" s="336" t="s">
        <v>416</v>
      </c>
      <c r="C2508" s="337">
        <v>39826</v>
      </c>
      <c r="D2508" s="338" t="s">
        <v>4782</v>
      </c>
      <c r="E2508" s="336" t="s">
        <v>4013</v>
      </c>
      <c r="F2508" s="338"/>
      <c r="G2508" s="338" t="s">
        <v>413</v>
      </c>
      <c r="H2508" s="338" t="s">
        <v>412</v>
      </c>
      <c r="I2508" s="338" t="s">
        <v>411</v>
      </c>
      <c r="J2508" s="339"/>
      <c r="K2508" s="339"/>
      <c r="L2508" s="339" t="s">
        <v>409</v>
      </c>
      <c r="M2508" s="339" t="s">
        <v>409</v>
      </c>
      <c r="N2508" s="338" t="s">
        <v>417</v>
      </c>
      <c r="O2508" s="338" t="s">
        <v>409</v>
      </c>
      <c r="P2508" s="338" t="s">
        <v>417</v>
      </c>
    </row>
    <row r="2509" spans="2:16" x14ac:dyDescent="0.25">
      <c r="B2509" s="336" t="s">
        <v>416</v>
      </c>
      <c r="C2509" s="337">
        <v>39825</v>
      </c>
      <c r="D2509" s="338" t="s">
        <v>4781</v>
      </c>
      <c r="E2509" s="336" t="s">
        <v>4192</v>
      </c>
      <c r="F2509" s="338"/>
      <c r="G2509" s="338" t="s">
        <v>413</v>
      </c>
      <c r="H2509" s="338" t="s">
        <v>425</v>
      </c>
      <c r="I2509" s="338" t="s">
        <v>411</v>
      </c>
      <c r="J2509" s="339"/>
      <c r="K2509" s="339"/>
      <c r="L2509" s="339" t="s">
        <v>409</v>
      </c>
      <c r="M2509" s="339" t="s">
        <v>409</v>
      </c>
      <c r="N2509" s="338" t="s">
        <v>410</v>
      </c>
      <c r="O2509" s="338" t="s">
        <v>409</v>
      </c>
      <c r="P2509" s="338" t="s">
        <v>410</v>
      </c>
    </row>
    <row r="2510" spans="2:16" x14ac:dyDescent="0.25">
      <c r="B2510" s="336" t="s">
        <v>416</v>
      </c>
      <c r="C2510" s="337">
        <v>39825</v>
      </c>
      <c r="D2510" s="338" t="s">
        <v>4780</v>
      </c>
      <c r="E2510" s="336" t="s">
        <v>4779</v>
      </c>
      <c r="F2510" s="338"/>
      <c r="G2510" s="338" t="s">
        <v>413</v>
      </c>
      <c r="H2510" s="338" t="s">
        <v>412</v>
      </c>
      <c r="I2510" s="338" t="s">
        <v>411</v>
      </c>
      <c r="J2510" s="339"/>
      <c r="K2510" s="339"/>
      <c r="L2510" s="339" t="s">
        <v>409</v>
      </c>
      <c r="M2510" s="339" t="s">
        <v>409</v>
      </c>
      <c r="N2510" s="338" t="s">
        <v>417</v>
      </c>
      <c r="O2510" s="338" t="s">
        <v>409</v>
      </c>
      <c r="P2510" s="338" t="s">
        <v>432</v>
      </c>
    </row>
    <row r="2511" spans="2:16" x14ac:dyDescent="0.25">
      <c r="B2511" s="336" t="s">
        <v>416</v>
      </c>
      <c r="C2511" s="337">
        <v>39825</v>
      </c>
      <c r="D2511" s="338" t="s">
        <v>4778</v>
      </c>
      <c r="E2511" s="336" t="s">
        <v>4777</v>
      </c>
      <c r="F2511" s="338"/>
      <c r="G2511" s="338" t="s">
        <v>413</v>
      </c>
      <c r="H2511" s="338" t="s">
        <v>425</v>
      </c>
      <c r="I2511" s="338" t="s">
        <v>411</v>
      </c>
      <c r="J2511" s="339"/>
      <c r="K2511" s="339"/>
      <c r="L2511" s="339" t="s">
        <v>409</v>
      </c>
      <c r="M2511" s="339" t="s">
        <v>409</v>
      </c>
      <c r="N2511" s="338"/>
      <c r="O2511" s="338" t="s">
        <v>409</v>
      </c>
      <c r="P2511" s="338" t="s">
        <v>443</v>
      </c>
    </row>
    <row r="2512" spans="2:16" x14ac:dyDescent="0.25">
      <c r="B2512" s="336" t="s">
        <v>416</v>
      </c>
      <c r="C2512" s="337">
        <v>39825</v>
      </c>
      <c r="D2512" s="338" t="s">
        <v>4776</v>
      </c>
      <c r="E2512" s="336" t="s">
        <v>2835</v>
      </c>
      <c r="F2512" s="338"/>
      <c r="G2512" s="338">
        <v>1.92</v>
      </c>
      <c r="H2512" s="338" t="s">
        <v>336</v>
      </c>
      <c r="I2512" s="338" t="s">
        <v>411</v>
      </c>
      <c r="J2512" s="339"/>
      <c r="K2512" s="339"/>
      <c r="L2512" s="339" t="s">
        <v>409</v>
      </c>
      <c r="M2512" s="339" t="s">
        <v>409</v>
      </c>
      <c r="N2512" s="338" t="s">
        <v>410</v>
      </c>
      <c r="O2512" s="338" t="s">
        <v>409</v>
      </c>
      <c r="P2512" s="338" t="s">
        <v>482</v>
      </c>
    </row>
    <row r="2513" spans="2:16" x14ac:dyDescent="0.25">
      <c r="B2513" s="336" t="s">
        <v>416</v>
      </c>
      <c r="C2513" s="337">
        <v>39825</v>
      </c>
      <c r="D2513" s="338" t="s">
        <v>4775</v>
      </c>
      <c r="E2513" s="336" t="s">
        <v>4774</v>
      </c>
      <c r="F2513" s="338"/>
      <c r="G2513" s="338">
        <v>67.06</v>
      </c>
      <c r="H2513" s="338" t="s">
        <v>429</v>
      </c>
      <c r="I2513" s="338" t="s">
        <v>411</v>
      </c>
      <c r="J2513" s="339"/>
      <c r="K2513" s="339"/>
      <c r="L2513" s="339" t="s">
        <v>409</v>
      </c>
      <c r="M2513" s="339" t="s">
        <v>409</v>
      </c>
      <c r="N2513" s="338" t="s">
        <v>410</v>
      </c>
      <c r="O2513" s="338" t="s">
        <v>409</v>
      </c>
      <c r="P2513" s="338" t="s">
        <v>410</v>
      </c>
    </row>
    <row r="2514" spans="2:16" x14ac:dyDescent="0.25">
      <c r="B2514" s="336" t="s">
        <v>416</v>
      </c>
      <c r="C2514" s="337">
        <v>39821</v>
      </c>
      <c r="D2514" s="338" t="s">
        <v>4773</v>
      </c>
      <c r="E2514" s="336" t="s">
        <v>2054</v>
      </c>
      <c r="F2514" s="338" t="s">
        <v>4772</v>
      </c>
      <c r="G2514" s="338">
        <v>35.700000000000003</v>
      </c>
      <c r="H2514" s="338" t="s">
        <v>425</v>
      </c>
      <c r="I2514" s="338" t="s">
        <v>411</v>
      </c>
      <c r="J2514" s="339"/>
      <c r="K2514" s="339"/>
      <c r="L2514" s="339"/>
      <c r="M2514" s="339"/>
      <c r="N2514" s="338"/>
      <c r="O2514" s="338"/>
      <c r="P2514" s="338" t="s">
        <v>417</v>
      </c>
    </row>
    <row r="2515" spans="2:16" x14ac:dyDescent="0.25">
      <c r="B2515" s="336" t="s">
        <v>416</v>
      </c>
      <c r="C2515" s="337">
        <v>39821</v>
      </c>
      <c r="D2515" s="338" t="s">
        <v>956</v>
      </c>
      <c r="E2515" s="336" t="s">
        <v>4771</v>
      </c>
      <c r="F2515" s="338" t="s">
        <v>4770</v>
      </c>
      <c r="G2515" s="338">
        <v>6.88</v>
      </c>
      <c r="H2515" s="338" t="s">
        <v>425</v>
      </c>
      <c r="I2515" s="338" t="s">
        <v>411</v>
      </c>
      <c r="J2515" s="339"/>
      <c r="K2515" s="339"/>
      <c r="L2515" s="339"/>
      <c r="M2515" s="339"/>
      <c r="N2515" s="338"/>
      <c r="O2515" s="338"/>
      <c r="P2515" s="338" t="s">
        <v>417</v>
      </c>
    </row>
    <row r="2516" spans="2:16" x14ac:dyDescent="0.25">
      <c r="B2516" s="336" t="s">
        <v>416</v>
      </c>
      <c r="C2516" s="337">
        <v>39821</v>
      </c>
      <c r="D2516" s="338" t="s">
        <v>4769</v>
      </c>
      <c r="E2516" s="336" t="s">
        <v>4150</v>
      </c>
      <c r="F2516" s="338"/>
      <c r="G2516" s="338">
        <v>2.1</v>
      </c>
      <c r="H2516" s="338" t="s">
        <v>696</v>
      </c>
      <c r="I2516" s="338" t="s">
        <v>411</v>
      </c>
      <c r="J2516" s="339"/>
      <c r="K2516" s="339"/>
      <c r="L2516" s="339" t="s">
        <v>409</v>
      </c>
      <c r="M2516" s="339" t="s">
        <v>409</v>
      </c>
      <c r="N2516" s="338" t="s">
        <v>432</v>
      </c>
      <c r="O2516" s="338" t="s">
        <v>409</v>
      </c>
      <c r="P2516" s="338" t="s">
        <v>417</v>
      </c>
    </row>
    <row r="2517" spans="2:16" x14ac:dyDescent="0.25">
      <c r="B2517" s="336" t="s">
        <v>416</v>
      </c>
      <c r="C2517" s="337">
        <v>39820</v>
      </c>
      <c r="D2517" s="338" t="s">
        <v>4768</v>
      </c>
      <c r="E2517" s="336" t="s">
        <v>4767</v>
      </c>
      <c r="F2517" s="338" t="s">
        <v>1904</v>
      </c>
      <c r="G2517" s="338" t="s">
        <v>413</v>
      </c>
      <c r="H2517" s="338" t="s">
        <v>412</v>
      </c>
      <c r="I2517" s="338" t="s">
        <v>411</v>
      </c>
      <c r="J2517" s="339"/>
      <c r="K2517" s="339"/>
      <c r="L2517" s="339"/>
      <c r="M2517" s="339"/>
      <c r="N2517" s="338" t="s">
        <v>432</v>
      </c>
      <c r="O2517" s="338" t="s">
        <v>417</v>
      </c>
      <c r="P2517" s="338" t="s">
        <v>443</v>
      </c>
    </row>
    <row r="2518" spans="2:16" x14ac:dyDescent="0.25">
      <c r="B2518" s="336" t="s">
        <v>1441</v>
      </c>
      <c r="C2518" s="337">
        <v>39820</v>
      </c>
      <c r="D2518" s="338" t="s">
        <v>3017</v>
      </c>
      <c r="E2518" s="336" t="s">
        <v>1415</v>
      </c>
      <c r="F2518" s="338"/>
      <c r="G2518" s="338">
        <v>6</v>
      </c>
      <c r="H2518" s="338" t="s">
        <v>412</v>
      </c>
      <c r="I2518" s="338" t="s">
        <v>411</v>
      </c>
      <c r="J2518" s="339"/>
      <c r="K2518" s="339"/>
      <c r="L2518" s="339" t="s">
        <v>409</v>
      </c>
      <c r="M2518" s="339" t="s">
        <v>409</v>
      </c>
      <c r="N2518" s="338" t="s">
        <v>417</v>
      </c>
      <c r="O2518" s="338" t="s">
        <v>409</v>
      </c>
      <c r="P2518" s="338" t="s">
        <v>417</v>
      </c>
    </row>
    <row r="2519" spans="2:16" x14ac:dyDescent="0.25">
      <c r="B2519" s="336" t="s">
        <v>416</v>
      </c>
      <c r="C2519" s="337">
        <v>39820</v>
      </c>
      <c r="D2519" s="338" t="s">
        <v>4766</v>
      </c>
      <c r="E2519" s="336" t="s">
        <v>4765</v>
      </c>
      <c r="F2519" s="338" t="s">
        <v>1006</v>
      </c>
      <c r="G2519" s="338">
        <v>9.8000000000000007</v>
      </c>
      <c r="H2519" s="338" t="s">
        <v>418</v>
      </c>
      <c r="I2519" s="338" t="s">
        <v>411</v>
      </c>
      <c r="J2519" s="339"/>
      <c r="K2519" s="339"/>
      <c r="L2519" s="339">
        <v>4.4876199999999998E-2</v>
      </c>
      <c r="M2519" s="339">
        <v>90.650599999999997</v>
      </c>
      <c r="N2519" s="338"/>
      <c r="O2519" s="338" t="s">
        <v>417</v>
      </c>
      <c r="P2519" s="338" t="s">
        <v>417</v>
      </c>
    </row>
    <row r="2520" spans="2:16" x14ac:dyDescent="0.25">
      <c r="B2520" s="336" t="s">
        <v>416</v>
      </c>
      <c r="C2520" s="337">
        <v>39819</v>
      </c>
      <c r="D2520" s="338" t="s">
        <v>4764</v>
      </c>
      <c r="E2520" s="336" t="s">
        <v>4763</v>
      </c>
      <c r="F2520" s="338"/>
      <c r="G2520" s="338" t="s">
        <v>413</v>
      </c>
      <c r="H2520" s="338" t="s">
        <v>412</v>
      </c>
      <c r="I2520" s="338" t="s">
        <v>411</v>
      </c>
      <c r="J2520" s="339"/>
      <c r="K2520" s="339"/>
      <c r="L2520" s="339" t="s">
        <v>409</v>
      </c>
      <c r="M2520" s="339" t="s">
        <v>409</v>
      </c>
      <c r="N2520" s="338" t="s">
        <v>417</v>
      </c>
      <c r="O2520" s="338" t="s">
        <v>409</v>
      </c>
      <c r="P2520" s="338" t="s">
        <v>605</v>
      </c>
    </row>
    <row r="2521" spans="2:16" x14ac:dyDescent="0.25">
      <c r="B2521" s="336" t="s">
        <v>416</v>
      </c>
      <c r="C2521" s="337">
        <v>39818</v>
      </c>
      <c r="D2521" s="338" t="s">
        <v>4762</v>
      </c>
      <c r="E2521" s="336" t="s">
        <v>1203</v>
      </c>
      <c r="F2521" s="338" t="s">
        <v>1281</v>
      </c>
      <c r="G2521" s="338">
        <v>255</v>
      </c>
      <c r="H2521" s="338" t="s">
        <v>425</v>
      </c>
      <c r="I2521" s="338" t="s">
        <v>411</v>
      </c>
      <c r="J2521" s="339"/>
      <c r="K2521" s="339"/>
      <c r="L2521" s="339">
        <v>4.1428000000000003</v>
      </c>
      <c r="M2521" s="339">
        <v>13.5078</v>
      </c>
      <c r="N2521" s="338"/>
      <c r="O2521" s="338" t="s">
        <v>605</v>
      </c>
      <c r="P2521" s="338" t="s">
        <v>417</v>
      </c>
    </row>
    <row r="2522" spans="2:16" x14ac:dyDescent="0.25">
      <c r="B2522" s="336" t="s">
        <v>416</v>
      </c>
      <c r="C2522" s="337">
        <v>39817</v>
      </c>
      <c r="D2522" s="338" t="s">
        <v>4761</v>
      </c>
      <c r="E2522" s="336" t="s">
        <v>4760</v>
      </c>
      <c r="F2522" s="338" t="s">
        <v>842</v>
      </c>
      <c r="G2522" s="338">
        <v>150</v>
      </c>
      <c r="H2522" s="338" t="s">
        <v>425</v>
      </c>
      <c r="I2522" s="338" t="s">
        <v>411</v>
      </c>
      <c r="J2522" s="339"/>
      <c r="K2522" s="339"/>
      <c r="L2522" s="339">
        <v>2.00787</v>
      </c>
      <c r="M2522" s="339">
        <v>12.1244</v>
      </c>
      <c r="N2522" s="338" t="s">
        <v>417</v>
      </c>
      <c r="O2522" s="338" t="s">
        <v>487</v>
      </c>
      <c r="P2522" s="338" t="s">
        <v>417</v>
      </c>
    </row>
    <row r="2523" spans="2:16" x14ac:dyDescent="0.25">
      <c r="B2523" s="336" t="s">
        <v>416</v>
      </c>
      <c r="C2523" s="337">
        <v>39812</v>
      </c>
      <c r="D2523" s="338" t="s">
        <v>1757</v>
      </c>
      <c r="E2523" s="336" t="s">
        <v>4759</v>
      </c>
      <c r="F2523" s="338"/>
      <c r="G2523" s="338" t="s">
        <v>413</v>
      </c>
      <c r="H2523" s="338" t="s">
        <v>412</v>
      </c>
      <c r="I2523" s="338" t="s">
        <v>411</v>
      </c>
      <c r="J2523" s="339"/>
      <c r="K2523" s="339"/>
      <c r="L2523" s="339" t="s">
        <v>409</v>
      </c>
      <c r="M2523" s="339" t="s">
        <v>409</v>
      </c>
      <c r="N2523" s="338" t="s">
        <v>417</v>
      </c>
      <c r="O2523" s="338" t="s">
        <v>409</v>
      </c>
      <c r="P2523" s="338" t="s">
        <v>410</v>
      </c>
    </row>
    <row r="2524" spans="2:16" x14ac:dyDescent="0.25">
      <c r="B2524" s="336" t="s">
        <v>416</v>
      </c>
      <c r="C2524" s="337">
        <v>39811</v>
      </c>
      <c r="D2524" s="338" t="s">
        <v>4758</v>
      </c>
      <c r="E2524" s="336" t="s">
        <v>4757</v>
      </c>
      <c r="F2524" s="338" t="s">
        <v>3901</v>
      </c>
      <c r="G2524" s="338">
        <v>10</v>
      </c>
      <c r="H2524" s="338" t="s">
        <v>425</v>
      </c>
      <c r="I2524" s="338" t="s">
        <v>411</v>
      </c>
      <c r="J2524" s="339"/>
      <c r="K2524" s="339"/>
      <c r="L2524" s="339">
        <v>3.2259500000000001</v>
      </c>
      <c r="M2524" s="339">
        <v>15.357699999999999</v>
      </c>
      <c r="N2524" s="338"/>
      <c r="O2524" s="338" t="s">
        <v>417</v>
      </c>
      <c r="P2524" s="338" t="s">
        <v>417</v>
      </c>
    </row>
    <row r="2525" spans="2:16" x14ac:dyDescent="0.25">
      <c r="B2525" s="336" t="s">
        <v>416</v>
      </c>
      <c r="C2525" s="337">
        <v>39805</v>
      </c>
      <c r="D2525" s="338" t="s">
        <v>4756</v>
      </c>
      <c r="E2525" s="336" t="s">
        <v>3245</v>
      </c>
      <c r="F2525" s="338"/>
      <c r="G2525" s="338" t="s">
        <v>413</v>
      </c>
      <c r="H2525" s="338" t="s">
        <v>412</v>
      </c>
      <c r="I2525" s="338" t="s">
        <v>411</v>
      </c>
      <c r="J2525" s="339"/>
      <c r="K2525" s="339"/>
      <c r="L2525" s="339" t="s">
        <v>409</v>
      </c>
      <c r="M2525" s="339" t="s">
        <v>409</v>
      </c>
      <c r="N2525" s="338" t="s">
        <v>410</v>
      </c>
      <c r="O2525" s="338" t="s">
        <v>409</v>
      </c>
      <c r="P2525" s="338" t="s">
        <v>410</v>
      </c>
    </row>
    <row r="2526" spans="2:16" x14ac:dyDescent="0.25">
      <c r="B2526" s="336" t="s">
        <v>416</v>
      </c>
      <c r="C2526" s="337">
        <v>39805</v>
      </c>
      <c r="D2526" s="338" t="s">
        <v>4755</v>
      </c>
      <c r="E2526" s="336" t="s">
        <v>4754</v>
      </c>
      <c r="F2526" s="338" t="s">
        <v>4753</v>
      </c>
      <c r="G2526" s="338" t="s">
        <v>413</v>
      </c>
      <c r="H2526" s="338" t="s">
        <v>425</v>
      </c>
      <c r="I2526" s="338" t="s">
        <v>411</v>
      </c>
      <c r="J2526" s="339"/>
      <c r="K2526" s="339"/>
      <c r="L2526" s="339"/>
      <c r="M2526" s="339"/>
      <c r="N2526" s="338"/>
      <c r="O2526" s="338" t="s">
        <v>417</v>
      </c>
      <c r="P2526" s="338" t="s">
        <v>410</v>
      </c>
    </row>
    <row r="2527" spans="2:16" x14ac:dyDescent="0.25">
      <c r="B2527" s="336" t="s">
        <v>416</v>
      </c>
      <c r="C2527" s="337">
        <v>39800</v>
      </c>
      <c r="D2527" s="338" t="s">
        <v>4752</v>
      </c>
      <c r="E2527" s="336" t="s">
        <v>1032</v>
      </c>
      <c r="F2527" s="338" t="s">
        <v>1959</v>
      </c>
      <c r="G2527" s="338">
        <v>19</v>
      </c>
      <c r="H2527" s="338" t="s">
        <v>425</v>
      </c>
      <c r="I2527" s="338" t="s">
        <v>411</v>
      </c>
      <c r="J2527" s="339"/>
      <c r="K2527" s="339"/>
      <c r="L2527" s="339"/>
      <c r="M2527" s="339"/>
      <c r="N2527" s="338"/>
      <c r="O2527" s="338" t="s">
        <v>443</v>
      </c>
      <c r="P2527" s="338" t="s">
        <v>417</v>
      </c>
    </row>
    <row r="2528" spans="2:16" x14ac:dyDescent="0.25">
      <c r="B2528" s="336" t="s">
        <v>416</v>
      </c>
      <c r="C2528" s="337">
        <v>39800</v>
      </c>
      <c r="D2528" s="338" t="s">
        <v>4751</v>
      </c>
      <c r="E2528" s="336" t="s">
        <v>1959</v>
      </c>
      <c r="F2528" s="338" t="s">
        <v>1032</v>
      </c>
      <c r="G2528" s="338">
        <v>18.5</v>
      </c>
      <c r="H2528" s="338" t="s">
        <v>425</v>
      </c>
      <c r="I2528" s="338" t="s">
        <v>411</v>
      </c>
      <c r="J2528" s="339"/>
      <c r="K2528" s="339"/>
      <c r="L2528" s="339">
        <v>2.6935500000000001</v>
      </c>
      <c r="M2528" s="339">
        <v>12.8904</v>
      </c>
      <c r="N2528" s="338"/>
      <c r="O2528" s="338" t="s">
        <v>417</v>
      </c>
      <c r="P2528" s="338" t="s">
        <v>443</v>
      </c>
    </row>
    <row r="2529" spans="2:16" x14ac:dyDescent="0.25">
      <c r="B2529" s="336" t="s">
        <v>416</v>
      </c>
      <c r="C2529" s="337">
        <v>39800</v>
      </c>
      <c r="D2529" s="338" t="s">
        <v>3554</v>
      </c>
      <c r="E2529" s="336" t="s">
        <v>4750</v>
      </c>
      <c r="F2529" s="338" t="s">
        <v>3526</v>
      </c>
      <c r="G2529" s="338" t="s">
        <v>413</v>
      </c>
      <c r="H2529" s="338" t="s">
        <v>336</v>
      </c>
      <c r="I2529" s="338" t="s">
        <v>411</v>
      </c>
      <c r="J2529" s="339"/>
      <c r="K2529" s="339"/>
      <c r="L2529" s="339">
        <v>0.74605500000000002</v>
      </c>
      <c r="M2529" s="339"/>
      <c r="N2529" s="338" t="s">
        <v>417</v>
      </c>
      <c r="O2529" s="338" t="s">
        <v>443</v>
      </c>
      <c r="P2529" s="338" t="s">
        <v>410</v>
      </c>
    </row>
    <row r="2530" spans="2:16" x14ac:dyDescent="0.25">
      <c r="B2530" s="336" t="s">
        <v>416</v>
      </c>
      <c r="C2530" s="337">
        <v>39798</v>
      </c>
      <c r="D2530" s="338" t="s">
        <v>552</v>
      </c>
      <c r="E2530" s="336" t="s">
        <v>714</v>
      </c>
      <c r="F2530" s="338" t="s">
        <v>4749</v>
      </c>
      <c r="G2530" s="338" t="s">
        <v>413</v>
      </c>
      <c r="H2530" s="338" t="s">
        <v>425</v>
      </c>
      <c r="I2530" s="338" t="s">
        <v>411</v>
      </c>
      <c r="J2530" s="339"/>
      <c r="K2530" s="339"/>
      <c r="L2530" s="339"/>
      <c r="M2530" s="339"/>
      <c r="N2530" s="338"/>
      <c r="O2530" s="338" t="s">
        <v>417</v>
      </c>
      <c r="P2530" s="338" t="s">
        <v>417</v>
      </c>
    </row>
    <row r="2531" spans="2:16" x14ac:dyDescent="0.25">
      <c r="B2531" s="336" t="s">
        <v>416</v>
      </c>
      <c r="C2531" s="337">
        <v>39794</v>
      </c>
      <c r="D2531" s="338" t="s">
        <v>4748</v>
      </c>
      <c r="E2531" s="336" t="s">
        <v>4747</v>
      </c>
      <c r="F2531" s="338" t="s">
        <v>4519</v>
      </c>
      <c r="G2531" s="338">
        <v>52.4</v>
      </c>
      <c r="H2531" s="338" t="s">
        <v>425</v>
      </c>
      <c r="I2531" s="338" t="s">
        <v>411</v>
      </c>
      <c r="J2531" s="339"/>
      <c r="K2531" s="339"/>
      <c r="L2531" s="339">
        <v>0.231154</v>
      </c>
      <c r="M2531" s="339"/>
      <c r="N2531" s="338"/>
      <c r="O2531" s="338" t="s">
        <v>417</v>
      </c>
      <c r="P2531" s="338" t="s">
        <v>1785</v>
      </c>
    </row>
    <row r="2532" spans="2:16" x14ac:dyDescent="0.25">
      <c r="B2532" s="336" t="s">
        <v>416</v>
      </c>
      <c r="C2532" s="337">
        <v>39794</v>
      </c>
      <c r="D2532" s="338" t="s">
        <v>4746</v>
      </c>
      <c r="E2532" s="336" t="s">
        <v>4745</v>
      </c>
      <c r="F2532" s="338" t="s">
        <v>1464</v>
      </c>
      <c r="G2532" s="338">
        <v>6.25</v>
      </c>
      <c r="H2532" s="338" t="s">
        <v>425</v>
      </c>
      <c r="I2532" s="338" t="s">
        <v>411</v>
      </c>
      <c r="J2532" s="339"/>
      <c r="K2532" s="339"/>
      <c r="L2532" s="339"/>
      <c r="M2532" s="339"/>
      <c r="N2532" s="338"/>
      <c r="O2532" s="338" t="s">
        <v>417</v>
      </c>
      <c r="P2532" s="338"/>
    </row>
    <row r="2533" spans="2:16" x14ac:dyDescent="0.25">
      <c r="B2533" s="336" t="s">
        <v>416</v>
      </c>
      <c r="C2533" s="337">
        <v>39793</v>
      </c>
      <c r="D2533" s="338" t="s">
        <v>4744</v>
      </c>
      <c r="E2533" s="336" t="s">
        <v>764</v>
      </c>
      <c r="F2533" s="338" t="s">
        <v>4743</v>
      </c>
      <c r="G2533" s="338" t="s">
        <v>413</v>
      </c>
      <c r="H2533" s="338" t="s">
        <v>425</v>
      </c>
      <c r="I2533" s="338" t="s">
        <v>411</v>
      </c>
      <c r="J2533" s="339"/>
      <c r="K2533" s="339"/>
      <c r="L2533" s="339"/>
      <c r="M2533" s="339"/>
      <c r="N2533" s="338"/>
      <c r="O2533" s="338" t="s">
        <v>417</v>
      </c>
      <c r="P2533" s="338" t="s">
        <v>443</v>
      </c>
    </row>
    <row r="2534" spans="2:16" x14ac:dyDescent="0.25">
      <c r="B2534" s="336" t="s">
        <v>416</v>
      </c>
      <c r="C2534" s="337">
        <v>39791</v>
      </c>
      <c r="D2534" s="338" t="s">
        <v>4742</v>
      </c>
      <c r="E2534" s="336" t="s">
        <v>4680</v>
      </c>
      <c r="F2534" s="338" t="s">
        <v>4679</v>
      </c>
      <c r="G2534" s="338" t="s">
        <v>413</v>
      </c>
      <c r="H2534" s="338" t="s">
        <v>425</v>
      </c>
      <c r="I2534" s="338" t="s">
        <v>411</v>
      </c>
      <c r="J2534" s="339"/>
      <c r="K2534" s="339"/>
      <c r="L2534" s="339"/>
      <c r="M2534" s="339"/>
      <c r="N2534" s="338"/>
      <c r="O2534" s="338" t="s">
        <v>417</v>
      </c>
      <c r="P2534" s="338" t="s">
        <v>612</v>
      </c>
    </row>
    <row r="2535" spans="2:16" x14ac:dyDescent="0.25">
      <c r="B2535" s="336" t="s">
        <v>416</v>
      </c>
      <c r="C2535" s="337">
        <v>39790</v>
      </c>
      <c r="D2535" s="338" t="s">
        <v>4741</v>
      </c>
      <c r="E2535" s="336" t="s">
        <v>4740</v>
      </c>
      <c r="F2535" s="338" t="s">
        <v>2557</v>
      </c>
      <c r="G2535" s="338" t="s">
        <v>413</v>
      </c>
      <c r="H2535" s="338" t="s">
        <v>425</v>
      </c>
      <c r="I2535" s="338" t="s">
        <v>411</v>
      </c>
      <c r="J2535" s="339"/>
      <c r="K2535" s="339"/>
      <c r="L2535" s="339">
        <v>2.9009499999999999</v>
      </c>
      <c r="M2535" s="339">
        <v>13.8558</v>
      </c>
      <c r="N2535" s="338" t="s">
        <v>417</v>
      </c>
      <c r="O2535" s="338" t="s">
        <v>417</v>
      </c>
      <c r="P2535" s="338" t="s">
        <v>417</v>
      </c>
    </row>
    <row r="2536" spans="2:16" x14ac:dyDescent="0.25">
      <c r="B2536" s="336" t="s">
        <v>416</v>
      </c>
      <c r="C2536" s="337">
        <v>39787</v>
      </c>
      <c r="D2536" s="338" t="s">
        <v>4739</v>
      </c>
      <c r="E2536" s="336" t="s">
        <v>2972</v>
      </c>
      <c r="F2536" s="338" t="s">
        <v>4738</v>
      </c>
      <c r="G2536" s="338" t="s">
        <v>413</v>
      </c>
      <c r="H2536" s="338" t="s">
        <v>425</v>
      </c>
      <c r="I2536" s="338" t="s">
        <v>411</v>
      </c>
      <c r="J2536" s="339"/>
      <c r="K2536" s="339"/>
      <c r="L2536" s="339"/>
      <c r="M2536" s="339"/>
      <c r="N2536" s="338"/>
      <c r="O2536" s="338" t="s">
        <v>443</v>
      </c>
      <c r="P2536" s="338" t="s">
        <v>443</v>
      </c>
    </row>
    <row r="2537" spans="2:16" x14ac:dyDescent="0.25">
      <c r="B2537" s="336" t="s">
        <v>416</v>
      </c>
      <c r="C2537" s="337">
        <v>39787</v>
      </c>
      <c r="D2537" s="338" t="s">
        <v>4737</v>
      </c>
      <c r="E2537" s="336" t="s">
        <v>4736</v>
      </c>
      <c r="F2537" s="338"/>
      <c r="G2537" s="338" t="s">
        <v>413</v>
      </c>
      <c r="H2537" s="338" t="s">
        <v>412</v>
      </c>
      <c r="I2537" s="338" t="s">
        <v>411</v>
      </c>
      <c r="J2537" s="339"/>
      <c r="K2537" s="339"/>
      <c r="L2537" s="339" t="s">
        <v>409</v>
      </c>
      <c r="M2537" s="339" t="s">
        <v>409</v>
      </c>
      <c r="N2537" s="338" t="s">
        <v>417</v>
      </c>
      <c r="O2537" s="338" t="s">
        <v>409</v>
      </c>
      <c r="P2537" s="338" t="s">
        <v>417</v>
      </c>
    </row>
    <row r="2538" spans="2:16" x14ac:dyDescent="0.25">
      <c r="B2538" s="336" t="s">
        <v>416</v>
      </c>
      <c r="C2538" s="337">
        <v>39783</v>
      </c>
      <c r="D2538" s="338" t="s">
        <v>4735</v>
      </c>
      <c r="E2538" s="336" t="s">
        <v>514</v>
      </c>
      <c r="F2538" s="338" t="s">
        <v>4734</v>
      </c>
      <c r="G2538" s="338">
        <v>185.1</v>
      </c>
      <c r="H2538" s="338" t="s">
        <v>425</v>
      </c>
      <c r="I2538" s="338" t="s">
        <v>411</v>
      </c>
      <c r="J2538" s="339">
        <v>0.99935300000000005</v>
      </c>
      <c r="K2538" s="339"/>
      <c r="L2538" s="339"/>
      <c r="M2538" s="339"/>
      <c r="N2538" s="338" t="s">
        <v>605</v>
      </c>
      <c r="O2538" s="338"/>
      <c r="P2538" s="338"/>
    </row>
    <row r="2539" spans="2:16" x14ac:dyDescent="0.25">
      <c r="B2539" s="336" t="s">
        <v>416</v>
      </c>
      <c r="C2539" s="337">
        <v>39778</v>
      </c>
      <c r="D2539" s="338" t="s">
        <v>4733</v>
      </c>
      <c r="E2539" s="336" t="s">
        <v>4732</v>
      </c>
      <c r="F2539" s="338"/>
      <c r="G2539" s="338">
        <v>44.58</v>
      </c>
      <c r="H2539" s="338" t="s">
        <v>429</v>
      </c>
      <c r="I2539" s="338" t="s">
        <v>411</v>
      </c>
      <c r="J2539" s="339"/>
      <c r="K2539" s="339"/>
      <c r="L2539" s="339" t="s">
        <v>409</v>
      </c>
      <c r="M2539" s="339" t="s">
        <v>409</v>
      </c>
      <c r="N2539" s="338" t="s">
        <v>417</v>
      </c>
      <c r="O2539" s="338" t="s">
        <v>409</v>
      </c>
      <c r="P2539" s="338" t="s">
        <v>417</v>
      </c>
    </row>
    <row r="2540" spans="2:16" x14ac:dyDescent="0.25">
      <c r="B2540" s="336" t="s">
        <v>1441</v>
      </c>
      <c r="C2540" s="337">
        <v>39776</v>
      </c>
      <c r="D2540" s="338" t="s">
        <v>1644</v>
      </c>
      <c r="E2540" s="336" t="s">
        <v>1126</v>
      </c>
      <c r="F2540" s="338"/>
      <c r="G2540" s="338" t="s">
        <v>413</v>
      </c>
      <c r="H2540" s="338" t="s">
        <v>412</v>
      </c>
      <c r="I2540" s="338" t="s">
        <v>411</v>
      </c>
      <c r="J2540" s="339">
        <v>3.5718299999999998</v>
      </c>
      <c r="K2540" s="339">
        <v>11.2796</v>
      </c>
      <c r="L2540" s="339" t="s">
        <v>409</v>
      </c>
      <c r="M2540" s="339" t="s">
        <v>409</v>
      </c>
      <c r="N2540" s="338" t="s">
        <v>432</v>
      </c>
      <c r="O2540" s="338" t="s">
        <v>409</v>
      </c>
      <c r="P2540" s="338" t="s">
        <v>417</v>
      </c>
    </row>
    <row r="2541" spans="2:16" x14ac:dyDescent="0.25">
      <c r="B2541" s="336" t="s">
        <v>416</v>
      </c>
      <c r="C2541" s="337">
        <v>39773</v>
      </c>
      <c r="D2541" s="338" t="s">
        <v>4731</v>
      </c>
      <c r="E2541" s="336" t="s">
        <v>4730</v>
      </c>
      <c r="F2541" s="338"/>
      <c r="G2541" s="338" t="s">
        <v>413</v>
      </c>
      <c r="H2541" s="338" t="s">
        <v>412</v>
      </c>
      <c r="I2541" s="338" t="s">
        <v>411</v>
      </c>
      <c r="J2541" s="339"/>
      <c r="K2541" s="339"/>
      <c r="L2541" s="339" t="s">
        <v>409</v>
      </c>
      <c r="M2541" s="339" t="s">
        <v>409</v>
      </c>
      <c r="N2541" s="338" t="s">
        <v>417</v>
      </c>
      <c r="O2541" s="338" t="s">
        <v>409</v>
      </c>
      <c r="P2541" s="338" t="s">
        <v>417</v>
      </c>
    </row>
    <row r="2542" spans="2:16" x14ac:dyDescent="0.25">
      <c r="B2542" s="336" t="s">
        <v>416</v>
      </c>
      <c r="C2542" s="337">
        <v>39773</v>
      </c>
      <c r="D2542" s="338" t="s">
        <v>4729</v>
      </c>
      <c r="E2542" s="336" t="s">
        <v>669</v>
      </c>
      <c r="F2542" s="338" t="s">
        <v>4728</v>
      </c>
      <c r="G2542" s="338">
        <v>24.5</v>
      </c>
      <c r="H2542" s="338" t="s">
        <v>425</v>
      </c>
      <c r="I2542" s="338" t="s">
        <v>411</v>
      </c>
      <c r="J2542" s="339"/>
      <c r="K2542" s="339"/>
      <c r="L2542" s="339">
        <v>0.30479400000000001</v>
      </c>
      <c r="M2542" s="339">
        <v>37.7575</v>
      </c>
      <c r="N2542" s="338"/>
      <c r="O2542" s="338" t="s">
        <v>417</v>
      </c>
      <c r="P2542" s="338"/>
    </row>
    <row r="2543" spans="2:16" x14ac:dyDescent="0.25">
      <c r="B2543" s="336" t="s">
        <v>416</v>
      </c>
      <c r="C2543" s="337">
        <v>39772</v>
      </c>
      <c r="D2543" s="338" t="s">
        <v>4727</v>
      </c>
      <c r="E2543" s="336" t="s">
        <v>4726</v>
      </c>
      <c r="F2543" s="338"/>
      <c r="G2543" s="338" t="s">
        <v>413</v>
      </c>
      <c r="H2543" s="338" t="s">
        <v>412</v>
      </c>
      <c r="I2543" s="338" t="s">
        <v>411</v>
      </c>
      <c r="J2543" s="339"/>
      <c r="K2543" s="339"/>
      <c r="L2543" s="339" t="s">
        <v>409</v>
      </c>
      <c r="M2543" s="339" t="s">
        <v>409</v>
      </c>
      <c r="N2543" s="338" t="s">
        <v>417</v>
      </c>
      <c r="O2543" s="338" t="s">
        <v>409</v>
      </c>
      <c r="P2543" s="338" t="s">
        <v>417</v>
      </c>
    </row>
    <row r="2544" spans="2:16" x14ac:dyDescent="0.25">
      <c r="B2544" s="336" t="s">
        <v>416</v>
      </c>
      <c r="C2544" s="337">
        <v>39772</v>
      </c>
      <c r="D2544" s="338" t="s">
        <v>4725</v>
      </c>
      <c r="E2544" s="336" t="s">
        <v>4724</v>
      </c>
      <c r="F2544" s="338"/>
      <c r="G2544" s="338" t="s">
        <v>413</v>
      </c>
      <c r="H2544" s="338" t="s">
        <v>412</v>
      </c>
      <c r="I2544" s="338" t="s">
        <v>411</v>
      </c>
      <c r="J2544" s="339"/>
      <c r="K2544" s="339"/>
      <c r="L2544" s="339" t="s">
        <v>409</v>
      </c>
      <c r="M2544" s="339" t="s">
        <v>409</v>
      </c>
      <c r="N2544" s="338" t="s">
        <v>417</v>
      </c>
      <c r="O2544" s="338" t="s">
        <v>409</v>
      </c>
      <c r="P2544" s="338" t="s">
        <v>417</v>
      </c>
    </row>
    <row r="2545" spans="2:16" x14ac:dyDescent="0.25">
      <c r="B2545" s="336" t="s">
        <v>1441</v>
      </c>
      <c r="C2545" s="337">
        <v>39771</v>
      </c>
      <c r="D2545" s="338" t="s">
        <v>4723</v>
      </c>
      <c r="E2545" s="336" t="s">
        <v>4722</v>
      </c>
      <c r="F2545" s="338"/>
      <c r="G2545" s="338" t="s">
        <v>413</v>
      </c>
      <c r="H2545" s="338" t="s">
        <v>412</v>
      </c>
      <c r="I2545" s="338" t="s">
        <v>411</v>
      </c>
      <c r="J2545" s="339"/>
      <c r="K2545" s="339"/>
      <c r="L2545" s="339" t="s">
        <v>409</v>
      </c>
      <c r="M2545" s="339" t="s">
        <v>409</v>
      </c>
      <c r="N2545" s="338" t="s">
        <v>410</v>
      </c>
      <c r="O2545" s="338" t="s">
        <v>409</v>
      </c>
      <c r="P2545" s="338" t="s">
        <v>417</v>
      </c>
    </row>
    <row r="2546" spans="2:16" x14ac:dyDescent="0.25">
      <c r="B2546" s="336" t="s">
        <v>416</v>
      </c>
      <c r="C2546" s="337">
        <v>39771</v>
      </c>
      <c r="D2546" s="338" t="s">
        <v>2345</v>
      </c>
      <c r="E2546" s="336" t="s">
        <v>4721</v>
      </c>
      <c r="F2546" s="338"/>
      <c r="G2546" s="338" t="s">
        <v>413</v>
      </c>
      <c r="H2546" s="338" t="s">
        <v>412</v>
      </c>
      <c r="I2546" s="338" t="s">
        <v>411</v>
      </c>
      <c r="J2546" s="339"/>
      <c r="K2546" s="339"/>
      <c r="L2546" s="339" t="s">
        <v>409</v>
      </c>
      <c r="M2546" s="339" t="s">
        <v>409</v>
      </c>
      <c r="N2546" s="338" t="s">
        <v>432</v>
      </c>
      <c r="O2546" s="338" t="s">
        <v>409</v>
      </c>
      <c r="P2546" s="338" t="s">
        <v>487</v>
      </c>
    </row>
    <row r="2547" spans="2:16" x14ac:dyDescent="0.25">
      <c r="B2547" s="336" t="s">
        <v>416</v>
      </c>
      <c r="C2547" s="337">
        <v>39769</v>
      </c>
      <c r="D2547" s="338" t="s">
        <v>4720</v>
      </c>
      <c r="E2547" s="336" t="s">
        <v>4347</v>
      </c>
      <c r="F2547" s="338"/>
      <c r="G2547" s="338" t="s">
        <v>413</v>
      </c>
      <c r="H2547" s="338" t="s">
        <v>425</v>
      </c>
      <c r="I2547" s="338" t="s">
        <v>411</v>
      </c>
      <c r="J2547" s="339"/>
      <c r="K2547" s="339"/>
      <c r="L2547" s="339" t="s">
        <v>409</v>
      </c>
      <c r="M2547" s="339" t="s">
        <v>409</v>
      </c>
      <c r="N2547" s="338"/>
      <c r="O2547" s="338" t="s">
        <v>409</v>
      </c>
      <c r="P2547" s="338" t="s">
        <v>417</v>
      </c>
    </row>
    <row r="2548" spans="2:16" x14ac:dyDescent="0.25">
      <c r="B2548" s="336" t="s">
        <v>416</v>
      </c>
      <c r="C2548" s="337">
        <v>39769</v>
      </c>
      <c r="D2548" s="338" t="s">
        <v>4719</v>
      </c>
      <c r="E2548" s="336" t="s">
        <v>3868</v>
      </c>
      <c r="F2548" s="338" t="s">
        <v>4718</v>
      </c>
      <c r="G2548" s="338" t="s">
        <v>413</v>
      </c>
      <c r="H2548" s="338" t="s">
        <v>425</v>
      </c>
      <c r="I2548" s="338" t="s">
        <v>411</v>
      </c>
      <c r="J2548" s="339"/>
      <c r="K2548" s="339"/>
      <c r="L2548" s="339">
        <v>0.25795400000000002</v>
      </c>
      <c r="M2548" s="339">
        <v>452.36</v>
      </c>
      <c r="N2548" s="338"/>
      <c r="O2548" s="338" t="s">
        <v>605</v>
      </c>
      <c r="P2548" s="338" t="s">
        <v>417</v>
      </c>
    </row>
    <row r="2549" spans="2:16" x14ac:dyDescent="0.25">
      <c r="B2549" s="336" t="s">
        <v>416</v>
      </c>
      <c r="C2549" s="337">
        <v>39766</v>
      </c>
      <c r="D2549" s="338" t="s">
        <v>4717</v>
      </c>
      <c r="E2549" s="336" t="s">
        <v>475</v>
      </c>
      <c r="F2549" s="338"/>
      <c r="G2549" s="338" t="s">
        <v>413</v>
      </c>
      <c r="H2549" s="338" t="s">
        <v>425</v>
      </c>
      <c r="I2549" s="338" t="s">
        <v>411</v>
      </c>
      <c r="J2549" s="339"/>
      <c r="K2549" s="339"/>
      <c r="L2549" s="339" t="s">
        <v>409</v>
      </c>
      <c r="M2549" s="339" t="s">
        <v>409</v>
      </c>
      <c r="N2549" s="338"/>
      <c r="O2549" s="338" t="s">
        <v>409</v>
      </c>
      <c r="P2549" s="338" t="s">
        <v>417</v>
      </c>
    </row>
    <row r="2550" spans="2:16" x14ac:dyDescent="0.25">
      <c r="B2550" s="336" t="s">
        <v>416</v>
      </c>
      <c r="C2550" s="337">
        <v>39766</v>
      </c>
      <c r="D2550" s="338" t="s">
        <v>4716</v>
      </c>
      <c r="E2550" s="336" t="s">
        <v>4715</v>
      </c>
      <c r="F2550" s="338"/>
      <c r="G2550" s="338" t="s">
        <v>413</v>
      </c>
      <c r="H2550" s="338" t="s">
        <v>425</v>
      </c>
      <c r="I2550" s="338" t="s">
        <v>411</v>
      </c>
      <c r="J2550" s="339"/>
      <c r="K2550" s="339"/>
      <c r="L2550" s="339" t="s">
        <v>409</v>
      </c>
      <c r="M2550" s="339" t="s">
        <v>409</v>
      </c>
      <c r="N2550" s="338" t="s">
        <v>410</v>
      </c>
      <c r="O2550" s="338" t="s">
        <v>409</v>
      </c>
      <c r="P2550" s="338" t="s">
        <v>443</v>
      </c>
    </row>
    <row r="2551" spans="2:16" x14ac:dyDescent="0.25">
      <c r="B2551" s="336" t="s">
        <v>416</v>
      </c>
      <c r="C2551" s="337">
        <v>39765</v>
      </c>
      <c r="D2551" s="338" t="s">
        <v>4714</v>
      </c>
      <c r="E2551" s="336" t="s">
        <v>4713</v>
      </c>
      <c r="F2551" s="338"/>
      <c r="G2551" s="338" t="s">
        <v>413</v>
      </c>
      <c r="H2551" s="338" t="s">
        <v>412</v>
      </c>
      <c r="I2551" s="338" t="s">
        <v>411</v>
      </c>
      <c r="J2551" s="339"/>
      <c r="K2551" s="339"/>
      <c r="L2551" s="339" t="s">
        <v>409</v>
      </c>
      <c r="M2551" s="339" t="s">
        <v>409</v>
      </c>
      <c r="N2551" s="338" t="s">
        <v>417</v>
      </c>
      <c r="O2551" s="338" t="s">
        <v>409</v>
      </c>
      <c r="P2551" s="338" t="s">
        <v>417</v>
      </c>
    </row>
    <row r="2552" spans="2:16" x14ac:dyDescent="0.25">
      <c r="B2552" s="336" t="s">
        <v>416</v>
      </c>
      <c r="C2552" s="337">
        <v>39763</v>
      </c>
      <c r="D2552" s="338" t="s">
        <v>4712</v>
      </c>
      <c r="E2552" s="336" t="s">
        <v>4711</v>
      </c>
      <c r="F2552" s="338"/>
      <c r="G2552" s="338" t="s">
        <v>413</v>
      </c>
      <c r="H2552" s="338" t="s">
        <v>336</v>
      </c>
      <c r="I2552" s="338" t="s">
        <v>411</v>
      </c>
      <c r="J2552" s="339"/>
      <c r="K2552" s="339"/>
      <c r="L2552" s="339" t="s">
        <v>409</v>
      </c>
      <c r="M2552" s="339" t="s">
        <v>409</v>
      </c>
      <c r="N2552" s="338" t="s">
        <v>417</v>
      </c>
      <c r="O2552" s="338" t="s">
        <v>409</v>
      </c>
      <c r="P2552" s="338" t="s">
        <v>432</v>
      </c>
    </row>
    <row r="2553" spans="2:16" x14ac:dyDescent="0.25">
      <c r="B2553" s="336" t="s">
        <v>416</v>
      </c>
      <c r="C2553" s="337">
        <v>39763</v>
      </c>
      <c r="D2553" s="338" t="s">
        <v>4710</v>
      </c>
      <c r="E2553" s="336" t="s">
        <v>4418</v>
      </c>
      <c r="F2553" s="338"/>
      <c r="G2553" s="338" t="s">
        <v>413</v>
      </c>
      <c r="H2553" s="338" t="s">
        <v>412</v>
      </c>
      <c r="I2553" s="338" t="s">
        <v>411</v>
      </c>
      <c r="J2553" s="339"/>
      <c r="K2553" s="339"/>
      <c r="L2553" s="339" t="s">
        <v>409</v>
      </c>
      <c r="M2553" s="339" t="s">
        <v>409</v>
      </c>
      <c r="N2553" s="338" t="s">
        <v>417</v>
      </c>
      <c r="O2553" s="338" t="s">
        <v>409</v>
      </c>
      <c r="P2553" s="338" t="s">
        <v>417</v>
      </c>
    </row>
    <row r="2554" spans="2:16" x14ac:dyDescent="0.25">
      <c r="B2554" s="336" t="s">
        <v>459</v>
      </c>
      <c r="C2554" s="337">
        <v>39762</v>
      </c>
      <c r="D2554" s="338" t="s">
        <v>4065</v>
      </c>
      <c r="E2554" s="336" t="s">
        <v>4709</v>
      </c>
      <c r="F2554" s="338"/>
      <c r="G2554" s="338">
        <v>6</v>
      </c>
      <c r="H2554" s="338" t="s">
        <v>425</v>
      </c>
      <c r="I2554" s="338" t="s">
        <v>411</v>
      </c>
      <c r="J2554" s="339"/>
      <c r="K2554" s="339"/>
      <c r="L2554" s="339" t="s">
        <v>409</v>
      </c>
      <c r="M2554" s="339" t="s">
        <v>409</v>
      </c>
      <c r="N2554" s="338" t="s">
        <v>417</v>
      </c>
      <c r="O2554" s="338" t="s">
        <v>409</v>
      </c>
      <c r="P2554" s="338"/>
    </row>
    <row r="2555" spans="2:16" x14ac:dyDescent="0.25">
      <c r="B2555" s="336" t="s">
        <v>416</v>
      </c>
      <c r="C2555" s="337">
        <v>39758</v>
      </c>
      <c r="D2555" s="338" t="s">
        <v>4708</v>
      </c>
      <c r="E2555" s="336" t="s">
        <v>4438</v>
      </c>
      <c r="F2555" s="338"/>
      <c r="G2555" s="338" t="s">
        <v>413</v>
      </c>
      <c r="H2555" s="338" t="s">
        <v>412</v>
      </c>
      <c r="I2555" s="338" t="s">
        <v>411</v>
      </c>
      <c r="J2555" s="339"/>
      <c r="K2555" s="339"/>
      <c r="L2555" s="339" t="s">
        <v>409</v>
      </c>
      <c r="M2555" s="339" t="s">
        <v>409</v>
      </c>
      <c r="N2555" s="338" t="s">
        <v>417</v>
      </c>
      <c r="O2555" s="338" t="s">
        <v>409</v>
      </c>
      <c r="P2555" s="338" t="s">
        <v>443</v>
      </c>
    </row>
    <row r="2556" spans="2:16" x14ac:dyDescent="0.25">
      <c r="B2556" s="336" t="s">
        <v>1441</v>
      </c>
      <c r="C2556" s="337">
        <v>39758</v>
      </c>
      <c r="D2556" s="338" t="s">
        <v>4707</v>
      </c>
      <c r="E2556" s="336" t="s">
        <v>4706</v>
      </c>
      <c r="F2556" s="338"/>
      <c r="G2556" s="338" t="s">
        <v>413</v>
      </c>
      <c r="H2556" s="338" t="s">
        <v>425</v>
      </c>
      <c r="I2556" s="338" t="s">
        <v>411</v>
      </c>
      <c r="J2556" s="339"/>
      <c r="K2556" s="339"/>
      <c r="L2556" s="339" t="s">
        <v>409</v>
      </c>
      <c r="M2556" s="339" t="s">
        <v>409</v>
      </c>
      <c r="N2556" s="338" t="s">
        <v>408</v>
      </c>
      <c r="O2556" s="338" t="s">
        <v>409</v>
      </c>
      <c r="P2556" s="338" t="s">
        <v>410</v>
      </c>
    </row>
    <row r="2557" spans="2:16" x14ac:dyDescent="0.25">
      <c r="B2557" s="336" t="s">
        <v>416</v>
      </c>
      <c r="C2557" s="337">
        <v>39758</v>
      </c>
      <c r="D2557" s="338" t="s">
        <v>4705</v>
      </c>
      <c r="E2557" s="336" t="s">
        <v>4704</v>
      </c>
      <c r="F2557" s="338" t="s">
        <v>4703</v>
      </c>
      <c r="G2557" s="338" t="s">
        <v>413</v>
      </c>
      <c r="H2557" s="338" t="s">
        <v>425</v>
      </c>
      <c r="I2557" s="338" t="s">
        <v>411</v>
      </c>
      <c r="J2557" s="339"/>
      <c r="K2557" s="339"/>
      <c r="L2557" s="339"/>
      <c r="M2557" s="339"/>
      <c r="N2557" s="338"/>
      <c r="O2557" s="338" t="s">
        <v>487</v>
      </c>
      <c r="P2557" s="338" t="s">
        <v>417</v>
      </c>
    </row>
    <row r="2558" spans="2:16" x14ac:dyDescent="0.25">
      <c r="B2558" s="336" t="s">
        <v>416</v>
      </c>
      <c r="C2558" s="337">
        <v>39758</v>
      </c>
      <c r="D2558" s="338" t="s">
        <v>4702</v>
      </c>
      <c r="E2558" s="336" t="s">
        <v>1442</v>
      </c>
      <c r="F2558" s="338"/>
      <c r="G2558" s="338" t="s">
        <v>413</v>
      </c>
      <c r="H2558" s="338" t="s">
        <v>425</v>
      </c>
      <c r="I2558" s="338" t="s">
        <v>411</v>
      </c>
      <c r="J2558" s="339"/>
      <c r="K2558" s="339"/>
      <c r="L2558" s="339" t="s">
        <v>409</v>
      </c>
      <c r="M2558" s="339" t="s">
        <v>409</v>
      </c>
      <c r="N2558" s="338"/>
      <c r="O2558" s="338" t="s">
        <v>409</v>
      </c>
      <c r="P2558" s="338" t="s">
        <v>417</v>
      </c>
    </row>
    <row r="2559" spans="2:16" x14ac:dyDescent="0.25">
      <c r="B2559" s="336" t="s">
        <v>459</v>
      </c>
      <c r="C2559" s="337">
        <v>39758</v>
      </c>
      <c r="D2559" s="338" t="s">
        <v>1249</v>
      </c>
      <c r="E2559" s="336" t="s">
        <v>4701</v>
      </c>
      <c r="F2559" s="338"/>
      <c r="G2559" s="338">
        <v>204.99</v>
      </c>
      <c r="H2559" s="338" t="s">
        <v>425</v>
      </c>
      <c r="I2559" s="338" t="s">
        <v>411</v>
      </c>
      <c r="J2559" s="339">
        <v>1.74013</v>
      </c>
      <c r="K2559" s="339">
        <v>11.651400000000001</v>
      </c>
      <c r="L2559" s="339" t="s">
        <v>409</v>
      </c>
      <c r="M2559" s="339" t="s">
        <v>409</v>
      </c>
      <c r="N2559" s="338" t="s">
        <v>417</v>
      </c>
      <c r="O2559" s="338" t="s">
        <v>409</v>
      </c>
      <c r="P2559" s="338" t="s">
        <v>443</v>
      </c>
    </row>
    <row r="2560" spans="2:16" x14ac:dyDescent="0.25">
      <c r="B2560" s="336" t="s">
        <v>416</v>
      </c>
      <c r="C2560" s="337">
        <v>39758</v>
      </c>
      <c r="D2560" s="338" t="s">
        <v>4700</v>
      </c>
      <c r="E2560" s="336" t="s">
        <v>3968</v>
      </c>
      <c r="F2560" s="338" t="s">
        <v>4699</v>
      </c>
      <c r="G2560" s="338" t="s">
        <v>413</v>
      </c>
      <c r="H2560" s="338" t="s">
        <v>425</v>
      </c>
      <c r="I2560" s="338" t="s">
        <v>411</v>
      </c>
      <c r="J2560" s="339"/>
      <c r="K2560" s="339"/>
      <c r="L2560" s="339"/>
      <c r="M2560" s="339"/>
      <c r="N2560" s="338"/>
      <c r="O2560" s="338" t="s">
        <v>432</v>
      </c>
      <c r="P2560" s="338" t="s">
        <v>410</v>
      </c>
    </row>
    <row r="2561" spans="2:16" x14ac:dyDescent="0.25">
      <c r="B2561" s="336" t="s">
        <v>416</v>
      </c>
      <c r="C2561" s="337">
        <v>39758</v>
      </c>
      <c r="D2561" s="338" t="s">
        <v>4698</v>
      </c>
      <c r="E2561" s="336" t="s">
        <v>514</v>
      </c>
      <c r="F2561" s="338" t="s">
        <v>598</v>
      </c>
      <c r="G2561" s="338" t="s">
        <v>413</v>
      </c>
      <c r="H2561" s="338" t="s">
        <v>425</v>
      </c>
      <c r="I2561" s="338" t="s">
        <v>411</v>
      </c>
      <c r="J2561" s="339"/>
      <c r="K2561" s="339"/>
      <c r="L2561" s="339">
        <v>0.68403599999999998</v>
      </c>
      <c r="M2561" s="339">
        <v>13.4612</v>
      </c>
      <c r="N2561" s="338"/>
      <c r="O2561" s="338" t="s">
        <v>417</v>
      </c>
      <c r="P2561" s="338"/>
    </row>
    <row r="2562" spans="2:16" x14ac:dyDescent="0.25">
      <c r="B2562" s="336" t="s">
        <v>1441</v>
      </c>
      <c r="C2562" s="337">
        <v>39757</v>
      </c>
      <c r="D2562" s="338" t="s">
        <v>4697</v>
      </c>
      <c r="E2562" s="336" t="s">
        <v>4696</v>
      </c>
      <c r="F2562" s="338"/>
      <c r="G2562" s="338" t="s">
        <v>413</v>
      </c>
      <c r="H2562" s="338" t="s">
        <v>412</v>
      </c>
      <c r="I2562" s="338" t="s">
        <v>411</v>
      </c>
      <c r="J2562" s="339"/>
      <c r="K2562" s="339"/>
      <c r="L2562" s="339" t="s">
        <v>409</v>
      </c>
      <c r="M2562" s="339" t="s">
        <v>409</v>
      </c>
      <c r="N2562" s="338" t="s">
        <v>417</v>
      </c>
      <c r="O2562" s="338" t="s">
        <v>409</v>
      </c>
      <c r="P2562" s="338" t="s">
        <v>417</v>
      </c>
    </row>
    <row r="2563" spans="2:16" x14ac:dyDescent="0.25">
      <c r="B2563" s="336" t="s">
        <v>416</v>
      </c>
      <c r="C2563" s="337">
        <v>39757</v>
      </c>
      <c r="D2563" s="338" t="s">
        <v>956</v>
      </c>
      <c r="E2563" s="336" t="s">
        <v>4695</v>
      </c>
      <c r="F2563" s="338" t="s">
        <v>598</v>
      </c>
      <c r="G2563" s="338" t="s">
        <v>413</v>
      </c>
      <c r="H2563" s="338" t="s">
        <v>425</v>
      </c>
      <c r="I2563" s="338" t="s">
        <v>411</v>
      </c>
      <c r="J2563" s="339"/>
      <c r="K2563" s="339"/>
      <c r="L2563" s="339">
        <v>0.68403599999999998</v>
      </c>
      <c r="M2563" s="339">
        <v>13.4612</v>
      </c>
      <c r="N2563" s="338"/>
      <c r="O2563" s="338" t="s">
        <v>417</v>
      </c>
      <c r="P2563" s="338" t="s">
        <v>417</v>
      </c>
    </row>
    <row r="2564" spans="2:16" x14ac:dyDescent="0.25">
      <c r="B2564" s="336" t="s">
        <v>416</v>
      </c>
      <c r="C2564" s="337">
        <v>39757</v>
      </c>
      <c r="D2564" s="338" t="s">
        <v>4694</v>
      </c>
      <c r="E2564" s="336" t="s">
        <v>2750</v>
      </c>
      <c r="F2564" s="338"/>
      <c r="G2564" s="338" t="s">
        <v>413</v>
      </c>
      <c r="H2564" s="338" t="s">
        <v>425</v>
      </c>
      <c r="I2564" s="338" t="s">
        <v>411</v>
      </c>
      <c r="J2564" s="339"/>
      <c r="K2564" s="339"/>
      <c r="L2564" s="339" t="s">
        <v>409</v>
      </c>
      <c r="M2564" s="339" t="s">
        <v>409</v>
      </c>
      <c r="N2564" s="338"/>
      <c r="O2564" s="338" t="s">
        <v>409</v>
      </c>
      <c r="P2564" s="338" t="s">
        <v>417</v>
      </c>
    </row>
    <row r="2565" spans="2:16" x14ac:dyDescent="0.25">
      <c r="B2565" s="336" t="s">
        <v>416</v>
      </c>
      <c r="C2565" s="337">
        <v>39756</v>
      </c>
      <c r="D2565" s="338" t="s">
        <v>1971</v>
      </c>
      <c r="E2565" s="336" t="s">
        <v>514</v>
      </c>
      <c r="F2565" s="338"/>
      <c r="G2565" s="338" t="s">
        <v>413</v>
      </c>
      <c r="H2565" s="338" t="s">
        <v>425</v>
      </c>
      <c r="I2565" s="338" t="s">
        <v>411</v>
      </c>
      <c r="J2565" s="339"/>
      <c r="K2565" s="339"/>
      <c r="L2565" s="339" t="s">
        <v>409</v>
      </c>
      <c r="M2565" s="339" t="s">
        <v>409</v>
      </c>
      <c r="N2565" s="338" t="s">
        <v>417</v>
      </c>
      <c r="O2565" s="338" t="s">
        <v>409</v>
      </c>
      <c r="P2565" s="338"/>
    </row>
    <row r="2566" spans="2:16" x14ac:dyDescent="0.25">
      <c r="B2566" s="336" t="s">
        <v>416</v>
      </c>
      <c r="C2566" s="337">
        <v>39755</v>
      </c>
      <c r="D2566" s="338" t="s">
        <v>4693</v>
      </c>
      <c r="E2566" s="336" t="s">
        <v>3767</v>
      </c>
      <c r="F2566" s="338" t="s">
        <v>4692</v>
      </c>
      <c r="G2566" s="338" t="s">
        <v>413</v>
      </c>
      <c r="H2566" s="338" t="s">
        <v>425</v>
      </c>
      <c r="I2566" s="338" t="s">
        <v>411</v>
      </c>
      <c r="J2566" s="339"/>
      <c r="K2566" s="339"/>
      <c r="L2566" s="339">
        <v>11.8797</v>
      </c>
      <c r="M2566" s="339"/>
      <c r="N2566" s="338"/>
      <c r="O2566" s="338" t="s">
        <v>417</v>
      </c>
      <c r="P2566" s="338" t="s">
        <v>432</v>
      </c>
    </row>
    <row r="2567" spans="2:16" x14ac:dyDescent="0.25">
      <c r="B2567" s="336" t="s">
        <v>416</v>
      </c>
      <c r="C2567" s="337">
        <v>39755</v>
      </c>
      <c r="D2567" s="338" t="s">
        <v>4691</v>
      </c>
      <c r="E2567" s="336" t="s">
        <v>4413</v>
      </c>
      <c r="F2567" s="338"/>
      <c r="G2567" s="338" t="s">
        <v>413</v>
      </c>
      <c r="H2567" s="338" t="s">
        <v>412</v>
      </c>
      <c r="I2567" s="338" t="s">
        <v>411</v>
      </c>
      <c r="J2567" s="339"/>
      <c r="K2567" s="339"/>
      <c r="L2567" s="339" t="s">
        <v>409</v>
      </c>
      <c r="M2567" s="339" t="s">
        <v>409</v>
      </c>
      <c r="N2567" s="338" t="s">
        <v>605</v>
      </c>
      <c r="O2567" s="338" t="s">
        <v>409</v>
      </c>
      <c r="P2567" s="338" t="s">
        <v>417</v>
      </c>
    </row>
    <row r="2568" spans="2:16" x14ac:dyDescent="0.25">
      <c r="B2568" s="336" t="s">
        <v>416</v>
      </c>
      <c r="C2568" s="337">
        <v>39755</v>
      </c>
      <c r="D2568" s="338" t="s">
        <v>4690</v>
      </c>
      <c r="E2568" s="336" t="s">
        <v>4689</v>
      </c>
      <c r="F2568" s="338"/>
      <c r="G2568" s="338" t="s">
        <v>413</v>
      </c>
      <c r="H2568" s="338" t="s">
        <v>425</v>
      </c>
      <c r="I2568" s="338" t="s">
        <v>411</v>
      </c>
      <c r="J2568" s="339"/>
      <c r="K2568" s="339"/>
      <c r="L2568" s="339" t="s">
        <v>409</v>
      </c>
      <c r="M2568" s="339" t="s">
        <v>409</v>
      </c>
      <c r="N2568" s="338" t="s">
        <v>417</v>
      </c>
      <c r="O2568" s="338" t="s">
        <v>409</v>
      </c>
      <c r="P2568" s="338"/>
    </row>
    <row r="2569" spans="2:16" x14ac:dyDescent="0.25">
      <c r="B2569" s="336" t="s">
        <v>416</v>
      </c>
      <c r="C2569" s="337">
        <v>39752</v>
      </c>
      <c r="D2569" s="338" t="s">
        <v>956</v>
      </c>
      <c r="E2569" s="336" t="s">
        <v>3375</v>
      </c>
      <c r="F2569" s="338" t="s">
        <v>1190</v>
      </c>
      <c r="G2569" s="338">
        <v>26</v>
      </c>
      <c r="H2569" s="338" t="s">
        <v>425</v>
      </c>
      <c r="I2569" s="338" t="s">
        <v>411</v>
      </c>
      <c r="J2569" s="339"/>
      <c r="K2569" s="339"/>
      <c r="L2569" s="339"/>
      <c r="M2569" s="339"/>
      <c r="N2569" s="338"/>
      <c r="O2569" s="338" t="s">
        <v>417</v>
      </c>
      <c r="P2569" s="338" t="s">
        <v>417</v>
      </c>
    </row>
    <row r="2570" spans="2:16" x14ac:dyDescent="0.25">
      <c r="B2570" s="336" t="s">
        <v>459</v>
      </c>
      <c r="C2570" s="337">
        <v>39751</v>
      </c>
      <c r="D2570" s="338" t="s">
        <v>419</v>
      </c>
      <c r="E2570" s="336" t="s">
        <v>4688</v>
      </c>
      <c r="F2570" s="338"/>
      <c r="G2570" s="338" t="s">
        <v>413</v>
      </c>
      <c r="H2570" s="338" t="s">
        <v>425</v>
      </c>
      <c r="I2570" s="338" t="s">
        <v>411</v>
      </c>
      <c r="J2570" s="339">
        <v>0.64154199999999995</v>
      </c>
      <c r="K2570" s="339">
        <v>2.8073899999999998</v>
      </c>
      <c r="L2570" s="339" t="s">
        <v>409</v>
      </c>
      <c r="M2570" s="339" t="s">
        <v>409</v>
      </c>
      <c r="N2570" s="338" t="s">
        <v>417</v>
      </c>
      <c r="O2570" s="338" t="s">
        <v>409</v>
      </c>
      <c r="P2570" s="338"/>
    </row>
    <row r="2571" spans="2:16" x14ac:dyDescent="0.25">
      <c r="B2571" s="336" t="s">
        <v>416</v>
      </c>
      <c r="C2571" s="337">
        <v>39750</v>
      </c>
      <c r="D2571" s="338" t="s">
        <v>4687</v>
      </c>
      <c r="E2571" s="336" t="s">
        <v>4686</v>
      </c>
      <c r="F2571" s="338"/>
      <c r="G2571" s="338" t="s">
        <v>413</v>
      </c>
      <c r="H2571" s="338" t="s">
        <v>412</v>
      </c>
      <c r="I2571" s="338" t="s">
        <v>411</v>
      </c>
      <c r="J2571" s="339"/>
      <c r="K2571" s="339"/>
      <c r="L2571" s="339" t="s">
        <v>409</v>
      </c>
      <c r="M2571" s="339" t="s">
        <v>409</v>
      </c>
      <c r="N2571" s="338" t="s">
        <v>410</v>
      </c>
      <c r="O2571" s="338" t="s">
        <v>409</v>
      </c>
      <c r="P2571" s="338" t="s">
        <v>410</v>
      </c>
    </row>
    <row r="2572" spans="2:16" x14ac:dyDescent="0.25">
      <c r="B2572" s="336" t="s">
        <v>416</v>
      </c>
      <c r="C2572" s="337">
        <v>39749</v>
      </c>
      <c r="D2572" s="338" t="s">
        <v>4685</v>
      </c>
      <c r="E2572" s="336" t="s">
        <v>4684</v>
      </c>
      <c r="F2572" s="338" t="s">
        <v>598</v>
      </c>
      <c r="G2572" s="338" t="s">
        <v>413</v>
      </c>
      <c r="H2572" s="338" t="s">
        <v>425</v>
      </c>
      <c r="I2572" s="338" t="s">
        <v>411</v>
      </c>
      <c r="J2572" s="339"/>
      <c r="K2572" s="339"/>
      <c r="L2572" s="339">
        <v>0.68403599999999998</v>
      </c>
      <c r="M2572" s="339">
        <v>13.4612</v>
      </c>
      <c r="N2572" s="338"/>
      <c r="O2572" s="338" t="s">
        <v>417</v>
      </c>
      <c r="P2572" s="338" t="s">
        <v>417</v>
      </c>
    </row>
    <row r="2573" spans="2:16" x14ac:dyDescent="0.25">
      <c r="B2573" s="336" t="s">
        <v>459</v>
      </c>
      <c r="C2573" s="337">
        <v>39749</v>
      </c>
      <c r="D2573" s="338" t="s">
        <v>2749</v>
      </c>
      <c r="E2573" s="336" t="s">
        <v>4683</v>
      </c>
      <c r="F2573" s="338"/>
      <c r="G2573" s="338">
        <v>8</v>
      </c>
      <c r="H2573" s="338" t="s">
        <v>425</v>
      </c>
      <c r="I2573" s="338" t="s">
        <v>411</v>
      </c>
      <c r="J2573" s="339"/>
      <c r="K2573" s="339"/>
      <c r="L2573" s="339" t="s">
        <v>409</v>
      </c>
      <c r="M2573" s="339" t="s">
        <v>409</v>
      </c>
      <c r="N2573" s="338" t="s">
        <v>432</v>
      </c>
      <c r="O2573" s="338" t="s">
        <v>409</v>
      </c>
      <c r="P2573" s="338"/>
    </row>
    <row r="2574" spans="2:16" x14ac:dyDescent="0.25">
      <c r="B2574" s="336" t="s">
        <v>416</v>
      </c>
      <c r="C2574" s="337">
        <v>39749</v>
      </c>
      <c r="D2574" s="338" t="s">
        <v>552</v>
      </c>
      <c r="E2574" s="336" t="s">
        <v>910</v>
      </c>
      <c r="F2574" s="338" t="s">
        <v>4682</v>
      </c>
      <c r="G2574" s="338" t="s">
        <v>413</v>
      </c>
      <c r="H2574" s="338" t="s">
        <v>425</v>
      </c>
      <c r="I2574" s="338" t="s">
        <v>411</v>
      </c>
      <c r="J2574" s="339"/>
      <c r="K2574" s="339"/>
      <c r="L2574" s="339"/>
      <c r="M2574" s="339"/>
      <c r="N2574" s="338"/>
      <c r="O2574" s="338" t="s">
        <v>432</v>
      </c>
      <c r="P2574" s="338" t="s">
        <v>417</v>
      </c>
    </row>
    <row r="2575" spans="2:16" x14ac:dyDescent="0.25">
      <c r="B2575" s="336" t="s">
        <v>416</v>
      </c>
      <c r="C2575" s="337">
        <v>39748</v>
      </c>
      <c r="D2575" s="338" t="s">
        <v>4681</v>
      </c>
      <c r="E2575" s="336" t="s">
        <v>4680</v>
      </c>
      <c r="F2575" s="338" t="s">
        <v>4679</v>
      </c>
      <c r="G2575" s="338" t="s">
        <v>413</v>
      </c>
      <c r="H2575" s="338" t="s">
        <v>425</v>
      </c>
      <c r="I2575" s="338" t="s">
        <v>411</v>
      </c>
      <c r="J2575" s="339"/>
      <c r="K2575" s="339"/>
      <c r="L2575" s="339"/>
      <c r="M2575" s="339"/>
      <c r="N2575" s="338"/>
      <c r="O2575" s="338" t="s">
        <v>417</v>
      </c>
      <c r="P2575" s="338" t="s">
        <v>612</v>
      </c>
    </row>
    <row r="2576" spans="2:16" x14ac:dyDescent="0.25">
      <c r="B2576" s="336" t="s">
        <v>416</v>
      </c>
      <c r="C2576" s="337">
        <v>39748</v>
      </c>
      <c r="D2576" s="338" t="s">
        <v>4678</v>
      </c>
      <c r="E2576" s="336" t="s">
        <v>4677</v>
      </c>
      <c r="F2576" s="338"/>
      <c r="G2576" s="338">
        <v>4.25</v>
      </c>
      <c r="H2576" s="338" t="s">
        <v>336</v>
      </c>
      <c r="I2576" s="338" t="s">
        <v>411</v>
      </c>
      <c r="J2576" s="339"/>
      <c r="K2576" s="339"/>
      <c r="L2576" s="339" t="s">
        <v>409</v>
      </c>
      <c r="M2576" s="339" t="s">
        <v>409</v>
      </c>
      <c r="N2576" s="338" t="s">
        <v>432</v>
      </c>
      <c r="O2576" s="338" t="s">
        <v>409</v>
      </c>
      <c r="P2576" s="338" t="s">
        <v>417</v>
      </c>
    </row>
    <row r="2577" spans="2:16" x14ac:dyDescent="0.25">
      <c r="B2577" s="336" t="s">
        <v>459</v>
      </c>
      <c r="C2577" s="337">
        <v>39745</v>
      </c>
      <c r="D2577" s="338" t="s">
        <v>4676</v>
      </c>
      <c r="E2577" s="336" t="s">
        <v>4675</v>
      </c>
      <c r="F2577" s="338"/>
      <c r="G2577" s="338" t="s">
        <v>413</v>
      </c>
      <c r="H2577" s="338" t="s">
        <v>425</v>
      </c>
      <c r="I2577" s="338" t="s">
        <v>411</v>
      </c>
      <c r="J2577" s="339"/>
      <c r="K2577" s="339"/>
      <c r="L2577" s="339" t="s">
        <v>409</v>
      </c>
      <c r="M2577" s="339" t="s">
        <v>409</v>
      </c>
      <c r="N2577" s="338"/>
      <c r="O2577" s="338" t="s">
        <v>409</v>
      </c>
      <c r="P2577" s="338" t="s">
        <v>443</v>
      </c>
    </row>
    <row r="2578" spans="2:16" x14ac:dyDescent="0.25">
      <c r="B2578" s="336" t="s">
        <v>459</v>
      </c>
      <c r="C2578" s="337">
        <v>39744</v>
      </c>
      <c r="D2578" s="338" t="s">
        <v>3584</v>
      </c>
      <c r="E2578" s="336" t="s">
        <v>4674</v>
      </c>
      <c r="F2578" s="338" t="s">
        <v>1107</v>
      </c>
      <c r="G2578" s="338">
        <v>123</v>
      </c>
      <c r="H2578" s="338" t="s">
        <v>425</v>
      </c>
      <c r="I2578" s="338" t="s">
        <v>411</v>
      </c>
      <c r="J2578" s="339"/>
      <c r="K2578" s="339"/>
      <c r="L2578" s="339"/>
      <c r="M2578" s="339"/>
      <c r="N2578" s="338" t="s">
        <v>410</v>
      </c>
      <c r="O2578" s="338" t="s">
        <v>417</v>
      </c>
      <c r="P2578" s="338" t="s">
        <v>410</v>
      </c>
    </row>
    <row r="2579" spans="2:16" x14ac:dyDescent="0.25">
      <c r="B2579" s="336" t="s">
        <v>459</v>
      </c>
      <c r="C2579" s="337">
        <v>39743</v>
      </c>
      <c r="D2579" s="338" t="s">
        <v>4673</v>
      </c>
      <c r="E2579" s="336" t="s">
        <v>4672</v>
      </c>
      <c r="F2579" s="338"/>
      <c r="G2579" s="338">
        <v>32</v>
      </c>
      <c r="H2579" s="338" t="s">
        <v>425</v>
      </c>
      <c r="I2579" s="338" t="s">
        <v>411</v>
      </c>
      <c r="J2579" s="339"/>
      <c r="K2579" s="339"/>
      <c r="L2579" s="339" t="s">
        <v>409</v>
      </c>
      <c r="M2579" s="339" t="s">
        <v>409</v>
      </c>
      <c r="N2579" s="338" t="s">
        <v>432</v>
      </c>
      <c r="O2579" s="338" t="s">
        <v>409</v>
      </c>
      <c r="P2579" s="338"/>
    </row>
    <row r="2580" spans="2:16" x14ac:dyDescent="0.25">
      <c r="B2580" s="336" t="s">
        <v>416</v>
      </c>
      <c r="C2580" s="337">
        <v>39742</v>
      </c>
      <c r="D2580" s="338" t="s">
        <v>4671</v>
      </c>
      <c r="E2580" s="336" t="s">
        <v>2750</v>
      </c>
      <c r="F2580" s="338"/>
      <c r="G2580" s="338" t="s">
        <v>413</v>
      </c>
      <c r="H2580" s="338" t="s">
        <v>425</v>
      </c>
      <c r="I2580" s="338" t="s">
        <v>411</v>
      </c>
      <c r="J2580" s="339"/>
      <c r="K2580" s="339"/>
      <c r="L2580" s="339" t="s">
        <v>409</v>
      </c>
      <c r="M2580" s="339" t="s">
        <v>409</v>
      </c>
      <c r="N2580" s="338"/>
      <c r="O2580" s="338" t="s">
        <v>409</v>
      </c>
      <c r="P2580" s="338" t="s">
        <v>417</v>
      </c>
    </row>
    <row r="2581" spans="2:16" x14ac:dyDescent="0.25">
      <c r="B2581" s="336" t="s">
        <v>416</v>
      </c>
      <c r="C2581" s="337">
        <v>39742</v>
      </c>
      <c r="D2581" s="338" t="s">
        <v>4670</v>
      </c>
      <c r="E2581" s="336" t="s">
        <v>1619</v>
      </c>
      <c r="F2581" s="338" t="s">
        <v>4669</v>
      </c>
      <c r="G2581" s="338" t="s">
        <v>413</v>
      </c>
      <c r="H2581" s="338" t="s">
        <v>425</v>
      </c>
      <c r="I2581" s="338" t="s">
        <v>411</v>
      </c>
      <c r="J2581" s="339"/>
      <c r="K2581" s="339"/>
      <c r="L2581" s="339">
        <v>0.30414000000000002</v>
      </c>
      <c r="M2581" s="339">
        <v>12.484999999999999</v>
      </c>
      <c r="N2581" s="338"/>
      <c r="O2581" s="338" t="s">
        <v>410</v>
      </c>
      <c r="P2581" s="338" t="s">
        <v>417</v>
      </c>
    </row>
    <row r="2582" spans="2:16" x14ac:dyDescent="0.25">
      <c r="B2582" s="336" t="s">
        <v>416</v>
      </c>
      <c r="C2582" s="337">
        <v>39742</v>
      </c>
      <c r="D2582" s="338" t="s">
        <v>4668</v>
      </c>
      <c r="E2582" s="336" t="s">
        <v>4667</v>
      </c>
      <c r="F2582" s="338" t="s">
        <v>2764</v>
      </c>
      <c r="G2582" s="338">
        <v>20</v>
      </c>
      <c r="H2582" s="338" t="s">
        <v>425</v>
      </c>
      <c r="I2582" s="338" t="s">
        <v>411</v>
      </c>
      <c r="J2582" s="339"/>
      <c r="K2582" s="339"/>
      <c r="L2582" s="339">
        <v>2.5831599999999999</v>
      </c>
      <c r="M2582" s="339">
        <v>418.44600000000003</v>
      </c>
      <c r="N2582" s="338" t="s">
        <v>417</v>
      </c>
      <c r="O2582" s="338" t="s">
        <v>417</v>
      </c>
      <c r="P2582" s="338" t="s">
        <v>417</v>
      </c>
    </row>
    <row r="2583" spans="2:16" x14ac:dyDescent="0.25">
      <c r="B2583" s="336" t="s">
        <v>459</v>
      </c>
      <c r="C2583" s="337">
        <v>39740</v>
      </c>
      <c r="D2583" s="338" t="s">
        <v>4666</v>
      </c>
      <c r="E2583" s="336" t="s">
        <v>4665</v>
      </c>
      <c r="F2583" s="338" t="s">
        <v>4664</v>
      </c>
      <c r="G2583" s="338" t="s">
        <v>413</v>
      </c>
      <c r="H2583" s="338" t="s">
        <v>425</v>
      </c>
      <c r="I2583" s="338" t="s">
        <v>411</v>
      </c>
      <c r="J2583" s="339"/>
      <c r="K2583" s="339"/>
      <c r="L2583" s="339">
        <v>0.73824999999999996</v>
      </c>
      <c r="M2583" s="339"/>
      <c r="N2583" s="338" t="s">
        <v>417</v>
      </c>
      <c r="O2583" s="338" t="s">
        <v>417</v>
      </c>
      <c r="P2583" s="338" t="s">
        <v>443</v>
      </c>
    </row>
    <row r="2584" spans="2:16" x14ac:dyDescent="0.25">
      <c r="B2584" s="336" t="s">
        <v>541</v>
      </c>
      <c r="C2584" s="337">
        <v>39737</v>
      </c>
      <c r="D2584" s="338" t="s">
        <v>4663</v>
      </c>
      <c r="E2584" s="336" t="s">
        <v>539</v>
      </c>
      <c r="F2584" s="338" t="s">
        <v>4662</v>
      </c>
      <c r="G2584" s="338" t="s">
        <v>413</v>
      </c>
      <c r="H2584" s="338"/>
      <c r="I2584" s="338" t="s">
        <v>411</v>
      </c>
      <c r="J2584" s="339"/>
      <c r="K2584" s="339"/>
      <c r="L2584" s="339"/>
      <c r="M2584" s="339"/>
      <c r="N2584" s="338" t="s">
        <v>410</v>
      </c>
      <c r="O2584" s="338" t="s">
        <v>443</v>
      </c>
      <c r="P2584" s="338" t="s">
        <v>409</v>
      </c>
    </row>
    <row r="2585" spans="2:16" x14ac:dyDescent="0.25">
      <c r="B2585" s="336" t="s">
        <v>416</v>
      </c>
      <c r="C2585" s="337">
        <v>39736</v>
      </c>
      <c r="D2585" s="338" t="s">
        <v>4661</v>
      </c>
      <c r="E2585" s="336" t="s">
        <v>3853</v>
      </c>
      <c r="F2585" s="338"/>
      <c r="G2585" s="338" t="s">
        <v>413</v>
      </c>
      <c r="H2585" s="338" t="s">
        <v>412</v>
      </c>
      <c r="I2585" s="338" t="s">
        <v>411</v>
      </c>
      <c r="J2585" s="339"/>
      <c r="K2585" s="339"/>
      <c r="L2585" s="339" t="s">
        <v>409</v>
      </c>
      <c r="M2585" s="339" t="s">
        <v>409</v>
      </c>
      <c r="N2585" s="338" t="s">
        <v>410</v>
      </c>
      <c r="O2585" s="338" t="s">
        <v>409</v>
      </c>
      <c r="P2585" s="338" t="s">
        <v>432</v>
      </c>
    </row>
    <row r="2586" spans="2:16" x14ac:dyDescent="0.25">
      <c r="B2586" s="336" t="s">
        <v>416</v>
      </c>
      <c r="C2586" s="337">
        <v>39736</v>
      </c>
      <c r="D2586" s="338" t="s">
        <v>4660</v>
      </c>
      <c r="E2586" s="336" t="s">
        <v>4659</v>
      </c>
      <c r="F2586" s="338" t="s">
        <v>4658</v>
      </c>
      <c r="G2586" s="338" t="s">
        <v>413</v>
      </c>
      <c r="H2586" s="338" t="s">
        <v>412</v>
      </c>
      <c r="I2586" s="338" t="s">
        <v>411</v>
      </c>
      <c r="J2586" s="339"/>
      <c r="K2586" s="339"/>
      <c r="L2586" s="339"/>
      <c r="M2586" s="339"/>
      <c r="N2586" s="338" t="s">
        <v>410</v>
      </c>
      <c r="O2586" s="338" t="s">
        <v>417</v>
      </c>
      <c r="P2586" s="338" t="s">
        <v>410</v>
      </c>
    </row>
    <row r="2587" spans="2:16" x14ac:dyDescent="0.25">
      <c r="B2587" s="336" t="s">
        <v>416</v>
      </c>
      <c r="C2587" s="337">
        <v>39734</v>
      </c>
      <c r="D2587" s="338" t="s">
        <v>4657</v>
      </c>
      <c r="E2587" s="336" t="s">
        <v>2711</v>
      </c>
      <c r="F2587" s="338" t="s">
        <v>4656</v>
      </c>
      <c r="G2587" s="338">
        <v>85</v>
      </c>
      <c r="H2587" s="338" t="s">
        <v>425</v>
      </c>
      <c r="I2587" s="338" t="s">
        <v>411</v>
      </c>
      <c r="J2587" s="339"/>
      <c r="K2587" s="339"/>
      <c r="L2587" s="339"/>
      <c r="M2587" s="339"/>
      <c r="N2587" s="338"/>
      <c r="O2587" s="338"/>
      <c r="P2587" s="338" t="s">
        <v>410</v>
      </c>
    </row>
    <row r="2588" spans="2:16" x14ac:dyDescent="0.25">
      <c r="B2588" s="336" t="s">
        <v>416</v>
      </c>
      <c r="C2588" s="337">
        <v>39731</v>
      </c>
      <c r="D2588" s="338" t="s">
        <v>4655</v>
      </c>
      <c r="E2588" s="336" t="s">
        <v>4654</v>
      </c>
      <c r="F2588" s="338"/>
      <c r="G2588" s="338" t="s">
        <v>413</v>
      </c>
      <c r="H2588" s="338" t="s">
        <v>412</v>
      </c>
      <c r="I2588" s="338" t="s">
        <v>411</v>
      </c>
      <c r="J2588" s="339"/>
      <c r="K2588" s="339"/>
      <c r="L2588" s="339" t="s">
        <v>409</v>
      </c>
      <c r="M2588" s="339" t="s">
        <v>409</v>
      </c>
      <c r="N2588" s="338" t="s">
        <v>417</v>
      </c>
      <c r="O2588" s="338" t="s">
        <v>409</v>
      </c>
      <c r="P2588" s="338" t="s">
        <v>410</v>
      </c>
    </row>
    <row r="2589" spans="2:16" x14ac:dyDescent="0.25">
      <c r="B2589" s="336" t="s">
        <v>416</v>
      </c>
      <c r="C2589" s="337">
        <v>39730</v>
      </c>
      <c r="D2589" s="338" t="s">
        <v>4653</v>
      </c>
      <c r="E2589" s="336" t="s">
        <v>4652</v>
      </c>
      <c r="F2589" s="338" t="s">
        <v>2991</v>
      </c>
      <c r="G2589" s="338" t="s">
        <v>413</v>
      </c>
      <c r="H2589" s="338" t="s">
        <v>412</v>
      </c>
      <c r="I2589" s="338" t="s">
        <v>411</v>
      </c>
      <c r="J2589" s="339"/>
      <c r="K2589" s="339"/>
      <c r="L2589" s="339"/>
      <c r="M2589" s="339"/>
      <c r="N2589" s="338" t="s">
        <v>410</v>
      </c>
      <c r="O2589" s="338" t="s">
        <v>443</v>
      </c>
      <c r="P2589" s="338" t="s">
        <v>410</v>
      </c>
    </row>
    <row r="2590" spans="2:16" x14ac:dyDescent="0.25">
      <c r="B2590" s="336" t="s">
        <v>416</v>
      </c>
      <c r="C2590" s="337">
        <v>39730</v>
      </c>
      <c r="D2590" s="338" t="s">
        <v>4651</v>
      </c>
      <c r="E2590" s="336" t="s">
        <v>4650</v>
      </c>
      <c r="F2590" s="338" t="s">
        <v>2980</v>
      </c>
      <c r="G2590" s="338">
        <v>1</v>
      </c>
      <c r="H2590" s="338" t="s">
        <v>425</v>
      </c>
      <c r="I2590" s="338" t="s">
        <v>411</v>
      </c>
      <c r="J2590" s="339"/>
      <c r="K2590" s="339"/>
      <c r="L2590" s="339">
        <v>2.2990200000000001</v>
      </c>
      <c r="M2590" s="339"/>
      <c r="N2590" s="338"/>
      <c r="O2590" s="338" t="s">
        <v>410</v>
      </c>
      <c r="P2590" s="338" t="s">
        <v>410</v>
      </c>
    </row>
    <row r="2591" spans="2:16" x14ac:dyDescent="0.25">
      <c r="B2591" s="336" t="s">
        <v>416</v>
      </c>
      <c r="C2591" s="337">
        <v>39730</v>
      </c>
      <c r="D2591" s="338" t="s">
        <v>4649</v>
      </c>
      <c r="E2591" s="336" t="s">
        <v>4648</v>
      </c>
      <c r="F2591" s="338" t="s">
        <v>2980</v>
      </c>
      <c r="G2591" s="338">
        <v>4.8</v>
      </c>
      <c r="H2591" s="338" t="s">
        <v>425</v>
      </c>
      <c r="I2591" s="338" t="s">
        <v>411</v>
      </c>
      <c r="J2591" s="339"/>
      <c r="K2591" s="339"/>
      <c r="L2591" s="339">
        <v>2.2990200000000001</v>
      </c>
      <c r="M2591" s="339"/>
      <c r="N2591" s="338"/>
      <c r="O2591" s="338" t="s">
        <v>410</v>
      </c>
      <c r="P2591" s="338" t="s">
        <v>410</v>
      </c>
    </row>
    <row r="2592" spans="2:16" x14ac:dyDescent="0.25">
      <c r="B2592" s="336" t="s">
        <v>416</v>
      </c>
      <c r="C2592" s="337">
        <v>39730</v>
      </c>
      <c r="D2592" s="338" t="s">
        <v>4647</v>
      </c>
      <c r="E2592" s="336" t="s">
        <v>4646</v>
      </c>
      <c r="F2592" s="338" t="s">
        <v>2980</v>
      </c>
      <c r="G2592" s="338">
        <v>3</v>
      </c>
      <c r="H2592" s="338" t="s">
        <v>425</v>
      </c>
      <c r="I2592" s="338" t="s">
        <v>411</v>
      </c>
      <c r="J2592" s="339"/>
      <c r="K2592" s="339"/>
      <c r="L2592" s="339">
        <v>2.2990200000000001</v>
      </c>
      <c r="M2592" s="339"/>
      <c r="N2592" s="338"/>
      <c r="O2592" s="338" t="s">
        <v>410</v>
      </c>
      <c r="P2592" s="338" t="s">
        <v>410</v>
      </c>
    </row>
    <row r="2593" spans="2:16" x14ac:dyDescent="0.25">
      <c r="B2593" s="336" t="s">
        <v>416</v>
      </c>
      <c r="C2593" s="337">
        <v>39730</v>
      </c>
      <c r="D2593" s="338" t="s">
        <v>4645</v>
      </c>
      <c r="E2593" s="336" t="s">
        <v>4644</v>
      </c>
      <c r="F2593" s="338" t="s">
        <v>2980</v>
      </c>
      <c r="G2593" s="338">
        <v>4.7</v>
      </c>
      <c r="H2593" s="338" t="s">
        <v>425</v>
      </c>
      <c r="I2593" s="338" t="s">
        <v>411</v>
      </c>
      <c r="J2593" s="339"/>
      <c r="K2593" s="339"/>
      <c r="L2593" s="339">
        <v>2.2990200000000001</v>
      </c>
      <c r="M2593" s="339"/>
      <c r="N2593" s="338"/>
      <c r="O2593" s="338" t="s">
        <v>410</v>
      </c>
      <c r="P2593" s="338" t="s">
        <v>410</v>
      </c>
    </row>
    <row r="2594" spans="2:16" x14ac:dyDescent="0.25">
      <c r="B2594" s="336" t="s">
        <v>416</v>
      </c>
      <c r="C2594" s="337">
        <v>39730</v>
      </c>
      <c r="D2594" s="338" t="s">
        <v>692</v>
      </c>
      <c r="E2594" s="336" t="s">
        <v>2750</v>
      </c>
      <c r="F2594" s="338"/>
      <c r="G2594" s="338" t="s">
        <v>413</v>
      </c>
      <c r="H2594" s="338" t="s">
        <v>412</v>
      </c>
      <c r="I2594" s="338" t="s">
        <v>411</v>
      </c>
      <c r="J2594" s="339"/>
      <c r="K2594" s="339"/>
      <c r="L2594" s="339" t="s">
        <v>409</v>
      </c>
      <c r="M2594" s="339" t="s">
        <v>409</v>
      </c>
      <c r="N2594" s="338"/>
      <c r="O2594" s="338" t="s">
        <v>409</v>
      </c>
      <c r="P2594" s="338" t="s">
        <v>417</v>
      </c>
    </row>
    <row r="2595" spans="2:16" x14ac:dyDescent="0.25">
      <c r="B2595" s="336" t="s">
        <v>416</v>
      </c>
      <c r="C2595" s="337">
        <v>39730</v>
      </c>
      <c r="D2595" s="338" t="s">
        <v>4643</v>
      </c>
      <c r="E2595" s="336" t="s">
        <v>4642</v>
      </c>
      <c r="F2595" s="338" t="s">
        <v>2980</v>
      </c>
      <c r="G2595" s="338">
        <v>3</v>
      </c>
      <c r="H2595" s="338" t="s">
        <v>425</v>
      </c>
      <c r="I2595" s="338" t="s">
        <v>411</v>
      </c>
      <c r="J2595" s="339"/>
      <c r="K2595" s="339"/>
      <c r="L2595" s="339">
        <v>2.2990200000000001</v>
      </c>
      <c r="M2595" s="339"/>
      <c r="N2595" s="338"/>
      <c r="O2595" s="338" t="s">
        <v>410</v>
      </c>
      <c r="P2595" s="338" t="s">
        <v>410</v>
      </c>
    </row>
    <row r="2596" spans="2:16" x14ac:dyDescent="0.25">
      <c r="B2596" s="336" t="s">
        <v>541</v>
      </c>
      <c r="C2596" s="337">
        <v>39728</v>
      </c>
      <c r="D2596" s="338" t="s">
        <v>4641</v>
      </c>
      <c r="E2596" s="336" t="s">
        <v>539</v>
      </c>
      <c r="F2596" s="338" t="s">
        <v>4640</v>
      </c>
      <c r="G2596" s="338">
        <v>5.61</v>
      </c>
      <c r="H2596" s="338"/>
      <c r="I2596" s="338" t="s">
        <v>411</v>
      </c>
      <c r="J2596" s="339">
        <v>5.6352500000000001</v>
      </c>
      <c r="K2596" s="339"/>
      <c r="L2596" s="339">
        <v>1.0488</v>
      </c>
      <c r="M2596" s="339"/>
      <c r="N2596" s="338" t="s">
        <v>408</v>
      </c>
      <c r="O2596" s="338" t="s">
        <v>417</v>
      </c>
      <c r="P2596" s="338" t="s">
        <v>409</v>
      </c>
    </row>
    <row r="2597" spans="2:16" x14ac:dyDescent="0.25">
      <c r="B2597" s="336" t="s">
        <v>416</v>
      </c>
      <c r="C2597" s="337">
        <v>39728</v>
      </c>
      <c r="D2597" s="338" t="s">
        <v>4639</v>
      </c>
      <c r="E2597" s="336" t="s">
        <v>2944</v>
      </c>
      <c r="F2597" s="338"/>
      <c r="G2597" s="338" t="s">
        <v>413</v>
      </c>
      <c r="H2597" s="338" t="s">
        <v>412</v>
      </c>
      <c r="I2597" s="338" t="s">
        <v>411</v>
      </c>
      <c r="J2597" s="339"/>
      <c r="K2597" s="339"/>
      <c r="L2597" s="339" t="s">
        <v>409</v>
      </c>
      <c r="M2597" s="339" t="s">
        <v>409</v>
      </c>
      <c r="N2597" s="338" t="s">
        <v>417</v>
      </c>
      <c r="O2597" s="338" t="s">
        <v>409</v>
      </c>
      <c r="P2597" s="338" t="s">
        <v>543</v>
      </c>
    </row>
    <row r="2598" spans="2:16" x14ac:dyDescent="0.25">
      <c r="B2598" s="336" t="s">
        <v>459</v>
      </c>
      <c r="C2598" s="337">
        <v>39727</v>
      </c>
      <c r="D2598" s="338" t="s">
        <v>4638</v>
      </c>
      <c r="E2598" s="336" t="s">
        <v>4637</v>
      </c>
      <c r="F2598" s="338"/>
      <c r="G2598" s="338" t="s">
        <v>413</v>
      </c>
      <c r="H2598" s="338" t="s">
        <v>412</v>
      </c>
      <c r="I2598" s="338" t="s">
        <v>411</v>
      </c>
      <c r="J2598" s="339"/>
      <c r="K2598" s="339"/>
      <c r="L2598" s="339" t="s">
        <v>409</v>
      </c>
      <c r="M2598" s="339" t="s">
        <v>409</v>
      </c>
      <c r="N2598" s="338" t="s">
        <v>410</v>
      </c>
      <c r="O2598" s="338" t="s">
        <v>409</v>
      </c>
      <c r="P2598" s="338" t="s">
        <v>417</v>
      </c>
    </row>
    <row r="2599" spans="2:16" x14ac:dyDescent="0.25">
      <c r="B2599" s="336" t="s">
        <v>416</v>
      </c>
      <c r="C2599" s="337">
        <v>39727</v>
      </c>
      <c r="D2599" s="338" t="s">
        <v>4636</v>
      </c>
      <c r="E2599" s="336" t="s">
        <v>4635</v>
      </c>
      <c r="F2599" s="338"/>
      <c r="G2599" s="338" t="s">
        <v>413</v>
      </c>
      <c r="H2599" s="338" t="s">
        <v>425</v>
      </c>
      <c r="I2599" s="338" t="s">
        <v>411</v>
      </c>
      <c r="J2599" s="339"/>
      <c r="K2599" s="339"/>
      <c r="L2599" s="339" t="s">
        <v>409</v>
      </c>
      <c r="M2599" s="339" t="s">
        <v>409</v>
      </c>
      <c r="N2599" s="338" t="s">
        <v>417</v>
      </c>
      <c r="O2599" s="338" t="s">
        <v>409</v>
      </c>
      <c r="P2599" s="338" t="s">
        <v>410</v>
      </c>
    </row>
    <row r="2600" spans="2:16" x14ac:dyDescent="0.25">
      <c r="B2600" s="336" t="s">
        <v>416</v>
      </c>
      <c r="C2600" s="337">
        <v>39723</v>
      </c>
      <c r="D2600" s="338" t="s">
        <v>4634</v>
      </c>
      <c r="E2600" s="336" t="s">
        <v>4633</v>
      </c>
      <c r="F2600" s="338"/>
      <c r="G2600" s="338" t="s">
        <v>413</v>
      </c>
      <c r="H2600" s="338" t="s">
        <v>412</v>
      </c>
      <c r="I2600" s="338" t="s">
        <v>411</v>
      </c>
      <c r="J2600" s="339"/>
      <c r="K2600" s="339"/>
      <c r="L2600" s="339" t="s">
        <v>409</v>
      </c>
      <c r="M2600" s="339" t="s">
        <v>409</v>
      </c>
      <c r="N2600" s="338" t="s">
        <v>417</v>
      </c>
      <c r="O2600" s="338" t="s">
        <v>409</v>
      </c>
      <c r="P2600" s="338" t="s">
        <v>417</v>
      </c>
    </row>
    <row r="2601" spans="2:16" x14ac:dyDescent="0.25">
      <c r="B2601" s="336" t="s">
        <v>416</v>
      </c>
      <c r="C2601" s="337">
        <v>39723</v>
      </c>
      <c r="D2601" s="338" t="s">
        <v>4632</v>
      </c>
      <c r="E2601" s="336" t="s">
        <v>2463</v>
      </c>
      <c r="F2601" s="338"/>
      <c r="G2601" s="338" t="s">
        <v>413</v>
      </c>
      <c r="H2601" s="338" t="s">
        <v>425</v>
      </c>
      <c r="I2601" s="338" t="s">
        <v>411</v>
      </c>
      <c r="J2601" s="339"/>
      <c r="K2601" s="339"/>
      <c r="L2601" s="339" t="s">
        <v>409</v>
      </c>
      <c r="M2601" s="339" t="s">
        <v>409</v>
      </c>
      <c r="N2601" s="338" t="s">
        <v>417</v>
      </c>
      <c r="O2601" s="338" t="s">
        <v>409</v>
      </c>
      <c r="P2601" s="338" t="s">
        <v>443</v>
      </c>
    </row>
    <row r="2602" spans="2:16" x14ac:dyDescent="0.25">
      <c r="B2602" s="336" t="s">
        <v>416</v>
      </c>
      <c r="C2602" s="337">
        <v>39722</v>
      </c>
      <c r="D2602" s="338" t="s">
        <v>4631</v>
      </c>
      <c r="E2602" s="336" t="s">
        <v>4630</v>
      </c>
      <c r="F2602" s="338"/>
      <c r="G2602" s="338">
        <v>2.56</v>
      </c>
      <c r="H2602" s="338" t="s">
        <v>336</v>
      </c>
      <c r="I2602" s="338" t="s">
        <v>411</v>
      </c>
      <c r="J2602" s="339"/>
      <c r="K2602" s="339"/>
      <c r="L2602" s="339" t="s">
        <v>409</v>
      </c>
      <c r="M2602" s="339" t="s">
        <v>409</v>
      </c>
      <c r="N2602" s="338" t="s">
        <v>417</v>
      </c>
      <c r="O2602" s="338" t="s">
        <v>409</v>
      </c>
      <c r="P2602" s="338" t="s">
        <v>410</v>
      </c>
    </row>
    <row r="2603" spans="2:16" x14ac:dyDescent="0.25">
      <c r="B2603" s="336" t="s">
        <v>416</v>
      </c>
      <c r="C2603" s="337">
        <v>39722</v>
      </c>
      <c r="D2603" s="338" t="s">
        <v>4629</v>
      </c>
      <c r="E2603" s="336" t="s">
        <v>4628</v>
      </c>
      <c r="F2603" s="338"/>
      <c r="G2603" s="338" t="s">
        <v>413</v>
      </c>
      <c r="H2603" s="338" t="s">
        <v>425</v>
      </c>
      <c r="I2603" s="338" t="s">
        <v>411</v>
      </c>
      <c r="J2603" s="339"/>
      <c r="K2603" s="339"/>
      <c r="L2603" s="339" t="s">
        <v>409</v>
      </c>
      <c r="M2603" s="339" t="s">
        <v>409</v>
      </c>
      <c r="N2603" s="338" t="s">
        <v>417</v>
      </c>
      <c r="O2603" s="338" t="s">
        <v>409</v>
      </c>
      <c r="P2603" s="338" t="s">
        <v>443</v>
      </c>
    </row>
    <row r="2604" spans="2:16" x14ac:dyDescent="0.25">
      <c r="B2604" s="336" t="s">
        <v>416</v>
      </c>
      <c r="C2604" s="337">
        <v>39721</v>
      </c>
      <c r="D2604" s="338" t="s">
        <v>4620</v>
      </c>
      <c r="E2604" s="336" t="s">
        <v>4627</v>
      </c>
      <c r="F2604" s="338" t="s">
        <v>4180</v>
      </c>
      <c r="G2604" s="338">
        <v>700</v>
      </c>
      <c r="H2604" s="338" t="s">
        <v>425</v>
      </c>
      <c r="I2604" s="338" t="s">
        <v>411</v>
      </c>
      <c r="J2604" s="339"/>
      <c r="K2604" s="339"/>
      <c r="L2604" s="339">
        <v>2.0968599999999999</v>
      </c>
      <c r="M2604" s="339">
        <v>3.97241</v>
      </c>
      <c r="N2604" s="338" t="s">
        <v>417</v>
      </c>
      <c r="O2604" s="338" t="s">
        <v>408</v>
      </c>
      <c r="P2604" s="338" t="s">
        <v>417</v>
      </c>
    </row>
    <row r="2605" spans="2:16" x14ac:dyDescent="0.25">
      <c r="B2605" s="336" t="s">
        <v>416</v>
      </c>
      <c r="C2605" s="337">
        <v>39721</v>
      </c>
      <c r="D2605" s="338" t="s">
        <v>4626</v>
      </c>
      <c r="E2605" s="336" t="s">
        <v>4003</v>
      </c>
      <c r="F2605" s="338"/>
      <c r="G2605" s="338" t="s">
        <v>413</v>
      </c>
      <c r="H2605" s="338" t="s">
        <v>412</v>
      </c>
      <c r="I2605" s="338" t="s">
        <v>411</v>
      </c>
      <c r="J2605" s="339"/>
      <c r="K2605" s="339"/>
      <c r="L2605" s="339" t="s">
        <v>409</v>
      </c>
      <c r="M2605" s="339" t="s">
        <v>409</v>
      </c>
      <c r="N2605" s="338" t="s">
        <v>410</v>
      </c>
      <c r="O2605" s="338" t="s">
        <v>409</v>
      </c>
      <c r="P2605" s="338" t="s">
        <v>417</v>
      </c>
    </row>
    <row r="2606" spans="2:16" x14ac:dyDescent="0.25">
      <c r="B2606" s="336" t="s">
        <v>416</v>
      </c>
      <c r="C2606" s="337">
        <v>39721</v>
      </c>
      <c r="D2606" s="338" t="s">
        <v>4625</v>
      </c>
      <c r="E2606" s="336" t="s">
        <v>4624</v>
      </c>
      <c r="F2606" s="338" t="s">
        <v>4623</v>
      </c>
      <c r="G2606" s="338">
        <v>4.3</v>
      </c>
      <c r="H2606" s="338" t="s">
        <v>425</v>
      </c>
      <c r="I2606" s="338" t="s">
        <v>411</v>
      </c>
      <c r="J2606" s="339"/>
      <c r="K2606" s="339"/>
      <c r="L2606" s="339"/>
      <c r="M2606" s="339"/>
      <c r="N2606" s="338"/>
      <c r="O2606" s="338" t="s">
        <v>417</v>
      </c>
      <c r="P2606" s="338" t="s">
        <v>443</v>
      </c>
    </row>
    <row r="2607" spans="2:16" x14ac:dyDescent="0.25">
      <c r="B2607" s="336" t="s">
        <v>459</v>
      </c>
      <c r="C2607" s="337">
        <v>39721</v>
      </c>
      <c r="D2607" s="338" t="s">
        <v>4622</v>
      </c>
      <c r="E2607" s="336" t="s">
        <v>4621</v>
      </c>
      <c r="F2607" s="338"/>
      <c r="G2607" s="338">
        <v>12</v>
      </c>
      <c r="H2607" s="338" t="s">
        <v>425</v>
      </c>
      <c r="I2607" s="338" t="s">
        <v>411</v>
      </c>
      <c r="J2607" s="339"/>
      <c r="K2607" s="339"/>
      <c r="L2607" s="339" t="s">
        <v>409</v>
      </c>
      <c r="M2607" s="339" t="s">
        <v>409</v>
      </c>
      <c r="N2607" s="338" t="s">
        <v>417</v>
      </c>
      <c r="O2607" s="338" t="s">
        <v>409</v>
      </c>
      <c r="P2607" s="338"/>
    </row>
    <row r="2608" spans="2:16" x14ac:dyDescent="0.25">
      <c r="B2608" s="336" t="s">
        <v>459</v>
      </c>
      <c r="C2608" s="337">
        <v>39721</v>
      </c>
      <c r="D2608" s="338" t="s">
        <v>4620</v>
      </c>
      <c r="E2608" s="336" t="s">
        <v>4619</v>
      </c>
      <c r="F2608" s="338"/>
      <c r="G2608" s="338" t="s">
        <v>413</v>
      </c>
      <c r="H2608" s="338" t="s">
        <v>425</v>
      </c>
      <c r="I2608" s="338" t="s">
        <v>411</v>
      </c>
      <c r="J2608" s="339"/>
      <c r="K2608" s="339"/>
      <c r="L2608" s="339" t="s">
        <v>409</v>
      </c>
      <c r="M2608" s="339" t="s">
        <v>409</v>
      </c>
      <c r="N2608" s="338" t="s">
        <v>417</v>
      </c>
      <c r="O2608" s="338" t="s">
        <v>409</v>
      </c>
      <c r="P2608" s="338" t="s">
        <v>443</v>
      </c>
    </row>
    <row r="2609" spans="2:16" x14ac:dyDescent="0.25">
      <c r="B2609" s="336" t="s">
        <v>416</v>
      </c>
      <c r="C2609" s="337">
        <v>39721</v>
      </c>
      <c r="D2609" s="338" t="s">
        <v>4618</v>
      </c>
      <c r="E2609" s="336" t="s">
        <v>2145</v>
      </c>
      <c r="F2609" s="338"/>
      <c r="G2609" s="338" t="s">
        <v>413</v>
      </c>
      <c r="H2609" s="338" t="s">
        <v>425</v>
      </c>
      <c r="I2609" s="338" t="s">
        <v>411</v>
      </c>
      <c r="J2609" s="339"/>
      <c r="K2609" s="339"/>
      <c r="L2609" s="339" t="s">
        <v>409</v>
      </c>
      <c r="M2609" s="339" t="s">
        <v>409</v>
      </c>
      <c r="N2609" s="338" t="s">
        <v>410</v>
      </c>
      <c r="O2609" s="338" t="s">
        <v>409</v>
      </c>
      <c r="P2609" s="338" t="s">
        <v>410</v>
      </c>
    </row>
    <row r="2610" spans="2:16" x14ac:dyDescent="0.25">
      <c r="B2610" s="336" t="s">
        <v>459</v>
      </c>
      <c r="C2610" s="337">
        <v>39721</v>
      </c>
      <c r="D2610" s="338" t="s">
        <v>4617</v>
      </c>
      <c r="E2610" s="336" t="s">
        <v>4616</v>
      </c>
      <c r="F2610" s="338"/>
      <c r="G2610" s="338">
        <v>14.7</v>
      </c>
      <c r="H2610" s="338" t="s">
        <v>425</v>
      </c>
      <c r="I2610" s="338" t="s">
        <v>411</v>
      </c>
      <c r="J2610" s="339"/>
      <c r="K2610" s="339"/>
      <c r="L2610" s="339" t="s">
        <v>409</v>
      </c>
      <c r="M2610" s="339" t="s">
        <v>409</v>
      </c>
      <c r="N2610" s="338" t="s">
        <v>605</v>
      </c>
      <c r="O2610" s="338" t="s">
        <v>409</v>
      </c>
      <c r="P2610" s="338"/>
    </row>
    <row r="2611" spans="2:16" x14ac:dyDescent="0.25">
      <c r="B2611" s="336" t="s">
        <v>416</v>
      </c>
      <c r="C2611" s="337">
        <v>39720</v>
      </c>
      <c r="D2611" s="338" t="s">
        <v>4615</v>
      </c>
      <c r="E2611" s="336" t="s">
        <v>4614</v>
      </c>
      <c r="F2611" s="338" t="s">
        <v>4612</v>
      </c>
      <c r="G2611" s="338">
        <v>102</v>
      </c>
      <c r="H2611" s="338" t="s">
        <v>425</v>
      </c>
      <c r="I2611" s="338" t="s">
        <v>411</v>
      </c>
      <c r="J2611" s="339"/>
      <c r="K2611" s="339"/>
      <c r="L2611" s="339">
        <v>0.458291</v>
      </c>
      <c r="M2611" s="339"/>
      <c r="N2611" s="338"/>
      <c r="O2611" s="338" t="s">
        <v>417</v>
      </c>
      <c r="P2611" s="338" t="s">
        <v>417</v>
      </c>
    </row>
    <row r="2612" spans="2:16" x14ac:dyDescent="0.25">
      <c r="B2612" s="336" t="s">
        <v>416</v>
      </c>
      <c r="C2612" s="337">
        <v>39720</v>
      </c>
      <c r="D2612" s="338" t="s">
        <v>4613</v>
      </c>
      <c r="E2612" s="336" t="s">
        <v>902</v>
      </c>
      <c r="F2612" s="338"/>
      <c r="G2612" s="338" t="s">
        <v>413</v>
      </c>
      <c r="H2612" s="338" t="s">
        <v>412</v>
      </c>
      <c r="I2612" s="338" t="s">
        <v>411</v>
      </c>
      <c r="J2612" s="339"/>
      <c r="K2612" s="339"/>
      <c r="L2612" s="339" t="s">
        <v>409</v>
      </c>
      <c r="M2612" s="339" t="s">
        <v>409</v>
      </c>
      <c r="N2612" s="338" t="s">
        <v>417</v>
      </c>
      <c r="O2612" s="338" t="s">
        <v>409</v>
      </c>
      <c r="P2612" s="338" t="s">
        <v>417</v>
      </c>
    </row>
    <row r="2613" spans="2:16" x14ac:dyDescent="0.25">
      <c r="B2613" s="336" t="s">
        <v>416</v>
      </c>
      <c r="C2613" s="337">
        <v>39720</v>
      </c>
      <c r="D2613" s="338" t="s">
        <v>552</v>
      </c>
      <c r="E2613" s="336" t="s">
        <v>4612</v>
      </c>
      <c r="F2613" s="338" t="s">
        <v>4611</v>
      </c>
      <c r="G2613" s="338">
        <v>9</v>
      </c>
      <c r="H2613" s="338" t="s">
        <v>425</v>
      </c>
      <c r="I2613" s="338" t="s">
        <v>411</v>
      </c>
      <c r="J2613" s="339"/>
      <c r="K2613" s="339"/>
      <c r="L2613" s="339">
        <v>0.478213</v>
      </c>
      <c r="M2613" s="339">
        <v>15.3131</v>
      </c>
      <c r="N2613" s="338"/>
      <c r="O2613" s="338" t="s">
        <v>432</v>
      </c>
      <c r="P2613" s="338" t="s">
        <v>417</v>
      </c>
    </row>
    <row r="2614" spans="2:16" x14ac:dyDescent="0.25">
      <c r="B2614" s="336" t="s">
        <v>416</v>
      </c>
      <c r="C2614" s="337">
        <v>39720</v>
      </c>
      <c r="D2614" s="338" t="s">
        <v>4610</v>
      </c>
      <c r="E2614" s="336" t="s">
        <v>1415</v>
      </c>
      <c r="F2614" s="338" t="s">
        <v>3901</v>
      </c>
      <c r="G2614" s="338">
        <v>26</v>
      </c>
      <c r="H2614" s="338" t="s">
        <v>425</v>
      </c>
      <c r="I2614" s="338" t="s">
        <v>411</v>
      </c>
      <c r="J2614" s="339"/>
      <c r="K2614" s="339"/>
      <c r="L2614" s="339">
        <v>3.2259500000000001</v>
      </c>
      <c r="M2614" s="339">
        <v>15.357699999999999</v>
      </c>
      <c r="N2614" s="338"/>
      <c r="O2614" s="338" t="s">
        <v>417</v>
      </c>
      <c r="P2614" s="338" t="s">
        <v>417</v>
      </c>
    </row>
    <row r="2615" spans="2:16" x14ac:dyDescent="0.25">
      <c r="B2615" s="336" t="s">
        <v>416</v>
      </c>
      <c r="C2615" s="337">
        <v>39717</v>
      </c>
      <c r="D2615" s="338" t="s">
        <v>4609</v>
      </c>
      <c r="E2615" s="336" t="s">
        <v>4608</v>
      </c>
      <c r="F2615" s="338"/>
      <c r="G2615" s="338">
        <v>100</v>
      </c>
      <c r="H2615" s="338" t="s">
        <v>425</v>
      </c>
      <c r="I2615" s="338" t="s">
        <v>411</v>
      </c>
      <c r="J2615" s="339"/>
      <c r="K2615" s="339"/>
      <c r="L2615" s="339" t="s">
        <v>409</v>
      </c>
      <c r="M2615" s="339" t="s">
        <v>409</v>
      </c>
      <c r="N2615" s="338"/>
      <c r="O2615" s="338" t="s">
        <v>409</v>
      </c>
      <c r="P2615" s="338" t="s">
        <v>482</v>
      </c>
    </row>
    <row r="2616" spans="2:16" x14ac:dyDescent="0.25">
      <c r="B2616" s="336" t="s">
        <v>416</v>
      </c>
      <c r="C2616" s="337">
        <v>39715</v>
      </c>
      <c r="D2616" s="338" t="s">
        <v>4607</v>
      </c>
      <c r="E2616" s="336" t="s">
        <v>4606</v>
      </c>
      <c r="F2616" s="338" t="s">
        <v>4605</v>
      </c>
      <c r="G2616" s="338" t="s">
        <v>413</v>
      </c>
      <c r="H2616" s="338" t="s">
        <v>425</v>
      </c>
      <c r="I2616" s="338" t="s">
        <v>411</v>
      </c>
      <c r="J2616" s="339"/>
      <c r="K2616" s="339"/>
      <c r="L2616" s="339"/>
      <c r="M2616" s="339"/>
      <c r="N2616" s="338"/>
      <c r="O2616" s="338" t="s">
        <v>432</v>
      </c>
      <c r="P2616" s="338" t="s">
        <v>417</v>
      </c>
    </row>
    <row r="2617" spans="2:16" x14ac:dyDescent="0.25">
      <c r="B2617" s="336" t="s">
        <v>416</v>
      </c>
      <c r="C2617" s="337">
        <v>39713</v>
      </c>
      <c r="D2617" s="338" t="s">
        <v>4604</v>
      </c>
      <c r="E2617" s="336" t="s">
        <v>4603</v>
      </c>
      <c r="F2617" s="338"/>
      <c r="G2617" s="338">
        <v>148</v>
      </c>
      <c r="H2617" s="338" t="s">
        <v>425</v>
      </c>
      <c r="I2617" s="338" t="s">
        <v>411</v>
      </c>
      <c r="J2617" s="339"/>
      <c r="K2617" s="339"/>
      <c r="L2617" s="339" t="s">
        <v>409</v>
      </c>
      <c r="M2617" s="339" t="s">
        <v>409</v>
      </c>
      <c r="N2617" s="338" t="s">
        <v>417</v>
      </c>
      <c r="O2617" s="338" t="s">
        <v>409</v>
      </c>
      <c r="P2617" s="338" t="s">
        <v>417</v>
      </c>
    </row>
    <row r="2618" spans="2:16" x14ac:dyDescent="0.25">
      <c r="B2618" s="336" t="s">
        <v>416</v>
      </c>
      <c r="C2618" s="337">
        <v>39713</v>
      </c>
      <c r="D2618" s="338" t="s">
        <v>4602</v>
      </c>
      <c r="E2618" s="336" t="s">
        <v>2308</v>
      </c>
      <c r="F2618" s="338"/>
      <c r="G2618" s="338" t="s">
        <v>413</v>
      </c>
      <c r="H2618" s="338" t="s">
        <v>412</v>
      </c>
      <c r="I2618" s="338" t="s">
        <v>411</v>
      </c>
      <c r="J2618" s="339"/>
      <c r="K2618" s="339"/>
      <c r="L2618" s="339" t="s">
        <v>409</v>
      </c>
      <c r="M2618" s="339" t="s">
        <v>409</v>
      </c>
      <c r="N2618" s="338" t="s">
        <v>432</v>
      </c>
      <c r="O2618" s="338" t="s">
        <v>409</v>
      </c>
      <c r="P2618" s="338" t="s">
        <v>417</v>
      </c>
    </row>
    <row r="2619" spans="2:16" x14ac:dyDescent="0.25">
      <c r="B2619" s="336" t="s">
        <v>416</v>
      </c>
      <c r="C2619" s="337">
        <v>39713</v>
      </c>
      <c r="D2619" s="338" t="s">
        <v>4601</v>
      </c>
      <c r="E2619" s="336" t="s">
        <v>4600</v>
      </c>
      <c r="F2619" s="338" t="s">
        <v>4599</v>
      </c>
      <c r="G2619" s="338">
        <v>0.22</v>
      </c>
      <c r="H2619" s="338" t="s">
        <v>336</v>
      </c>
      <c r="I2619" s="338" t="s">
        <v>411</v>
      </c>
      <c r="J2619" s="339"/>
      <c r="K2619" s="339"/>
      <c r="L2619" s="339"/>
      <c r="M2619" s="339"/>
      <c r="N2619" s="338"/>
      <c r="O2619" s="338" t="s">
        <v>410</v>
      </c>
      <c r="P2619" s="338" t="s">
        <v>417</v>
      </c>
    </row>
    <row r="2620" spans="2:16" x14ac:dyDescent="0.25">
      <c r="B2620" s="336" t="s">
        <v>416</v>
      </c>
      <c r="C2620" s="337">
        <v>39710</v>
      </c>
      <c r="D2620" s="338" t="s">
        <v>4598</v>
      </c>
      <c r="E2620" s="336" t="s">
        <v>2126</v>
      </c>
      <c r="F2620" s="338" t="s">
        <v>2190</v>
      </c>
      <c r="G2620" s="338">
        <v>17.600000000000001</v>
      </c>
      <c r="H2620" s="338" t="s">
        <v>425</v>
      </c>
      <c r="I2620" s="338" t="s">
        <v>411</v>
      </c>
      <c r="J2620" s="339"/>
      <c r="K2620" s="339"/>
      <c r="L2620" s="339">
        <v>1.31223</v>
      </c>
      <c r="M2620" s="339">
        <v>10.9381</v>
      </c>
      <c r="N2620" s="338"/>
      <c r="O2620" s="338" t="s">
        <v>417</v>
      </c>
      <c r="P2620" s="338" t="s">
        <v>443</v>
      </c>
    </row>
    <row r="2621" spans="2:16" x14ac:dyDescent="0.25">
      <c r="B2621" s="336" t="s">
        <v>459</v>
      </c>
      <c r="C2621" s="337">
        <v>39710</v>
      </c>
      <c r="D2621" s="338" t="s">
        <v>641</v>
      </c>
      <c r="E2621" s="336" t="s">
        <v>4225</v>
      </c>
      <c r="F2621" s="338" t="s">
        <v>1644</v>
      </c>
      <c r="G2621" s="338">
        <v>500</v>
      </c>
      <c r="H2621" s="338" t="s">
        <v>425</v>
      </c>
      <c r="I2621" s="338" t="s">
        <v>411</v>
      </c>
      <c r="J2621" s="339"/>
      <c r="K2621" s="339"/>
      <c r="L2621" s="339">
        <v>3.5718299999999998</v>
      </c>
      <c r="M2621" s="339">
        <v>11.2796</v>
      </c>
      <c r="N2621" s="338" t="s">
        <v>417</v>
      </c>
      <c r="O2621" s="338" t="s">
        <v>432</v>
      </c>
      <c r="P2621" s="338" t="s">
        <v>543</v>
      </c>
    </row>
    <row r="2622" spans="2:16" x14ac:dyDescent="0.25">
      <c r="B2622" s="336" t="s">
        <v>416</v>
      </c>
      <c r="C2622" s="337">
        <v>39710</v>
      </c>
      <c r="D2622" s="338" t="s">
        <v>4597</v>
      </c>
      <c r="E2622" s="336" t="s">
        <v>4596</v>
      </c>
      <c r="F2622" s="338"/>
      <c r="G2622" s="338" t="s">
        <v>413</v>
      </c>
      <c r="H2622" s="338" t="s">
        <v>412</v>
      </c>
      <c r="I2622" s="338" t="s">
        <v>411</v>
      </c>
      <c r="J2622" s="339"/>
      <c r="K2622" s="339"/>
      <c r="L2622" s="339" t="s">
        <v>409</v>
      </c>
      <c r="M2622" s="339" t="s">
        <v>409</v>
      </c>
      <c r="N2622" s="338" t="s">
        <v>417</v>
      </c>
      <c r="O2622" s="338" t="s">
        <v>409</v>
      </c>
      <c r="P2622" s="338" t="s">
        <v>417</v>
      </c>
    </row>
    <row r="2623" spans="2:16" x14ac:dyDescent="0.25">
      <c r="B2623" s="336" t="s">
        <v>416</v>
      </c>
      <c r="C2623" s="337">
        <v>39707</v>
      </c>
      <c r="D2623" s="338" t="s">
        <v>1025</v>
      </c>
      <c r="E2623" s="336" t="s">
        <v>1024</v>
      </c>
      <c r="F2623" s="338" t="s">
        <v>480</v>
      </c>
      <c r="G2623" s="338" t="s">
        <v>413</v>
      </c>
      <c r="H2623" s="338" t="s">
        <v>425</v>
      </c>
      <c r="I2623" s="338" t="s">
        <v>411</v>
      </c>
      <c r="J2623" s="339"/>
      <c r="K2623" s="339"/>
      <c r="L2623" s="339"/>
      <c r="M2623" s="339"/>
      <c r="N2623" s="338" t="s">
        <v>417</v>
      </c>
      <c r="O2623" s="338" t="s">
        <v>443</v>
      </c>
      <c r="P2623" s="338" t="s">
        <v>443</v>
      </c>
    </row>
    <row r="2624" spans="2:16" x14ac:dyDescent="0.25">
      <c r="B2624" s="336" t="s">
        <v>416</v>
      </c>
      <c r="C2624" s="337">
        <v>39706</v>
      </c>
      <c r="D2624" s="338" t="s">
        <v>4595</v>
      </c>
      <c r="E2624" s="336" t="s">
        <v>4594</v>
      </c>
      <c r="F2624" s="338" t="s">
        <v>2075</v>
      </c>
      <c r="G2624" s="338" t="s">
        <v>413</v>
      </c>
      <c r="H2624" s="338" t="s">
        <v>425</v>
      </c>
      <c r="I2624" s="338" t="s">
        <v>411</v>
      </c>
      <c r="J2624" s="339"/>
      <c r="K2624" s="339"/>
      <c r="L2624" s="339"/>
      <c r="M2624" s="339"/>
      <c r="N2624" s="338" t="s">
        <v>417</v>
      </c>
      <c r="O2624" s="338" t="s">
        <v>443</v>
      </c>
      <c r="P2624" s="338" t="s">
        <v>410</v>
      </c>
    </row>
    <row r="2625" spans="2:16" x14ac:dyDescent="0.25">
      <c r="B2625" s="336" t="s">
        <v>416</v>
      </c>
      <c r="C2625" s="337">
        <v>39706</v>
      </c>
      <c r="D2625" s="338" t="s">
        <v>4593</v>
      </c>
      <c r="E2625" s="336" t="s">
        <v>3578</v>
      </c>
      <c r="F2625" s="338"/>
      <c r="G2625" s="338" t="s">
        <v>413</v>
      </c>
      <c r="H2625" s="338" t="s">
        <v>412</v>
      </c>
      <c r="I2625" s="338" t="s">
        <v>411</v>
      </c>
      <c r="J2625" s="339"/>
      <c r="K2625" s="339"/>
      <c r="L2625" s="339" t="s">
        <v>409</v>
      </c>
      <c r="M2625" s="339" t="s">
        <v>409</v>
      </c>
      <c r="N2625" s="338"/>
      <c r="O2625" s="338" t="s">
        <v>409</v>
      </c>
      <c r="P2625" s="338" t="s">
        <v>417</v>
      </c>
    </row>
    <row r="2626" spans="2:16" x14ac:dyDescent="0.25">
      <c r="B2626" s="336" t="s">
        <v>416</v>
      </c>
      <c r="C2626" s="337">
        <v>39706</v>
      </c>
      <c r="D2626" s="338" t="s">
        <v>956</v>
      </c>
      <c r="E2626" s="336" t="s">
        <v>4592</v>
      </c>
      <c r="F2626" s="338" t="s">
        <v>4591</v>
      </c>
      <c r="G2626" s="338">
        <v>40.299999999999997</v>
      </c>
      <c r="H2626" s="338" t="s">
        <v>425</v>
      </c>
      <c r="I2626" s="338" t="s">
        <v>411</v>
      </c>
      <c r="J2626" s="339"/>
      <c r="K2626" s="339"/>
      <c r="L2626" s="339"/>
      <c r="M2626" s="339"/>
      <c r="N2626" s="338"/>
      <c r="O2626" s="338" t="s">
        <v>417</v>
      </c>
      <c r="P2626" s="338" t="s">
        <v>410</v>
      </c>
    </row>
    <row r="2627" spans="2:16" x14ac:dyDescent="0.25">
      <c r="B2627" s="336" t="s">
        <v>416</v>
      </c>
      <c r="C2627" s="337">
        <v>39706</v>
      </c>
      <c r="D2627" s="338" t="s">
        <v>4590</v>
      </c>
      <c r="E2627" s="336" t="s">
        <v>4097</v>
      </c>
      <c r="F2627" s="338" t="s">
        <v>4589</v>
      </c>
      <c r="G2627" s="338">
        <v>0.5</v>
      </c>
      <c r="H2627" s="338" t="s">
        <v>425</v>
      </c>
      <c r="I2627" s="338" t="s">
        <v>411</v>
      </c>
      <c r="J2627" s="339"/>
      <c r="K2627" s="339"/>
      <c r="L2627" s="339">
        <v>3.5335899999999998</v>
      </c>
      <c r="M2627" s="339"/>
      <c r="N2627" s="338" t="s">
        <v>417</v>
      </c>
      <c r="O2627" s="338" t="s">
        <v>410</v>
      </c>
      <c r="P2627" s="338" t="s">
        <v>417</v>
      </c>
    </row>
    <row r="2628" spans="2:16" x14ac:dyDescent="0.25">
      <c r="B2628" s="336" t="s">
        <v>416</v>
      </c>
      <c r="C2628" s="337">
        <v>39706</v>
      </c>
      <c r="D2628" s="338" t="s">
        <v>4588</v>
      </c>
      <c r="E2628" s="336" t="s">
        <v>1812</v>
      </c>
      <c r="F2628" s="338"/>
      <c r="G2628" s="338">
        <v>59.32</v>
      </c>
      <c r="H2628" s="338" t="s">
        <v>425</v>
      </c>
      <c r="I2628" s="338" t="s">
        <v>411</v>
      </c>
      <c r="J2628" s="339">
        <v>2.70294E-3</v>
      </c>
      <c r="K2628" s="339"/>
      <c r="L2628" s="339" t="s">
        <v>409</v>
      </c>
      <c r="M2628" s="339" t="s">
        <v>409</v>
      </c>
      <c r="N2628" s="338" t="s">
        <v>432</v>
      </c>
      <c r="O2628" s="338" t="s">
        <v>409</v>
      </c>
      <c r="P2628" s="338" t="s">
        <v>417</v>
      </c>
    </row>
    <row r="2629" spans="2:16" x14ac:dyDescent="0.25">
      <c r="B2629" s="336" t="s">
        <v>416</v>
      </c>
      <c r="C2629" s="337">
        <v>39706</v>
      </c>
      <c r="D2629" s="338" t="s">
        <v>4587</v>
      </c>
      <c r="E2629" s="336" t="s">
        <v>4586</v>
      </c>
      <c r="F2629" s="338"/>
      <c r="G2629" s="338">
        <v>300</v>
      </c>
      <c r="H2629" s="338" t="s">
        <v>425</v>
      </c>
      <c r="I2629" s="338" t="s">
        <v>411</v>
      </c>
      <c r="J2629" s="339"/>
      <c r="K2629" s="339"/>
      <c r="L2629" s="339" t="s">
        <v>409</v>
      </c>
      <c r="M2629" s="339" t="s">
        <v>409</v>
      </c>
      <c r="N2629" s="338" t="s">
        <v>417</v>
      </c>
      <c r="O2629" s="338" t="s">
        <v>409</v>
      </c>
      <c r="P2629" s="338" t="s">
        <v>487</v>
      </c>
    </row>
    <row r="2630" spans="2:16" x14ac:dyDescent="0.25">
      <c r="B2630" s="336" t="s">
        <v>416</v>
      </c>
      <c r="C2630" s="337">
        <v>39702</v>
      </c>
      <c r="D2630" s="338" t="s">
        <v>4585</v>
      </c>
      <c r="E2630" s="336" t="s">
        <v>423</v>
      </c>
      <c r="F2630" s="338" t="s">
        <v>1197</v>
      </c>
      <c r="G2630" s="338" t="s">
        <v>413</v>
      </c>
      <c r="H2630" s="338" t="s">
        <v>425</v>
      </c>
      <c r="I2630" s="338" t="s">
        <v>411</v>
      </c>
      <c r="J2630" s="339">
        <v>0.28034700000000001</v>
      </c>
      <c r="K2630" s="339">
        <v>4.1204299999999998</v>
      </c>
      <c r="L2630" s="339"/>
      <c r="M2630" s="339"/>
      <c r="N2630" s="338" t="s">
        <v>417</v>
      </c>
      <c r="O2630" s="338" t="s">
        <v>443</v>
      </c>
      <c r="P2630" s="338"/>
    </row>
    <row r="2631" spans="2:16" x14ac:dyDescent="0.25">
      <c r="B2631" s="336" t="s">
        <v>416</v>
      </c>
      <c r="C2631" s="337">
        <v>39701</v>
      </c>
      <c r="D2631" s="338" t="s">
        <v>4584</v>
      </c>
      <c r="E2631" s="336" t="s">
        <v>4097</v>
      </c>
      <c r="F2631" s="338" t="s">
        <v>4583</v>
      </c>
      <c r="G2631" s="338" t="s">
        <v>413</v>
      </c>
      <c r="H2631" s="338" t="s">
        <v>425</v>
      </c>
      <c r="I2631" s="338" t="s">
        <v>411</v>
      </c>
      <c r="J2631" s="339"/>
      <c r="K2631" s="339"/>
      <c r="L2631" s="339"/>
      <c r="M2631" s="339"/>
      <c r="N2631" s="338"/>
      <c r="O2631" s="338" t="s">
        <v>417</v>
      </c>
      <c r="P2631" s="338" t="s">
        <v>417</v>
      </c>
    </row>
    <row r="2632" spans="2:16" x14ac:dyDescent="0.25">
      <c r="B2632" s="336" t="s">
        <v>416</v>
      </c>
      <c r="C2632" s="337">
        <v>39701</v>
      </c>
      <c r="D2632" s="338" t="s">
        <v>4582</v>
      </c>
      <c r="E2632" s="336" t="s">
        <v>4581</v>
      </c>
      <c r="F2632" s="338"/>
      <c r="G2632" s="338" t="s">
        <v>413</v>
      </c>
      <c r="H2632" s="338" t="s">
        <v>425</v>
      </c>
      <c r="I2632" s="338" t="s">
        <v>411</v>
      </c>
      <c r="J2632" s="339"/>
      <c r="K2632" s="339"/>
      <c r="L2632" s="339" t="s">
        <v>409</v>
      </c>
      <c r="M2632" s="339" t="s">
        <v>409</v>
      </c>
      <c r="N2632" s="338" t="s">
        <v>417</v>
      </c>
      <c r="O2632" s="338" t="s">
        <v>409</v>
      </c>
      <c r="P2632" s="338" t="s">
        <v>443</v>
      </c>
    </row>
    <row r="2633" spans="2:16" x14ac:dyDescent="0.25">
      <c r="B2633" s="336" t="s">
        <v>416</v>
      </c>
      <c r="C2633" s="337">
        <v>39700</v>
      </c>
      <c r="D2633" s="338" t="s">
        <v>4580</v>
      </c>
      <c r="E2633" s="336" t="s">
        <v>4579</v>
      </c>
      <c r="F2633" s="338" t="s">
        <v>2237</v>
      </c>
      <c r="G2633" s="338">
        <v>175</v>
      </c>
      <c r="H2633" s="338" t="s">
        <v>425</v>
      </c>
      <c r="I2633" s="338" t="s">
        <v>411</v>
      </c>
      <c r="J2633" s="339"/>
      <c r="K2633" s="339"/>
      <c r="L2633" s="339">
        <v>0.724661</v>
      </c>
      <c r="M2633" s="339">
        <v>9.8471299999999999</v>
      </c>
      <c r="N2633" s="338"/>
      <c r="O2633" s="338" t="s">
        <v>410</v>
      </c>
      <c r="P2633" s="338" t="s">
        <v>417</v>
      </c>
    </row>
    <row r="2634" spans="2:16" x14ac:dyDescent="0.25">
      <c r="B2634" s="336" t="s">
        <v>416</v>
      </c>
      <c r="C2634" s="337">
        <v>39699</v>
      </c>
      <c r="D2634" s="338" t="s">
        <v>4578</v>
      </c>
      <c r="E2634" s="336" t="s">
        <v>814</v>
      </c>
      <c r="F2634" s="338" t="s">
        <v>889</v>
      </c>
      <c r="G2634" s="338" t="s">
        <v>413</v>
      </c>
      <c r="H2634" s="338" t="s">
        <v>425</v>
      </c>
      <c r="I2634" s="338" t="s">
        <v>411</v>
      </c>
      <c r="J2634" s="339"/>
      <c r="K2634" s="339"/>
      <c r="L2634" s="339">
        <v>2.9470299999999998</v>
      </c>
      <c r="M2634" s="339">
        <v>13.790100000000001</v>
      </c>
      <c r="N2634" s="338"/>
      <c r="O2634" s="338" t="s">
        <v>410</v>
      </c>
      <c r="P2634" s="338" t="s">
        <v>410</v>
      </c>
    </row>
    <row r="2635" spans="2:16" x14ac:dyDescent="0.25">
      <c r="B2635" s="336" t="s">
        <v>416</v>
      </c>
      <c r="C2635" s="337">
        <v>39696</v>
      </c>
      <c r="D2635" s="338" t="s">
        <v>4577</v>
      </c>
      <c r="E2635" s="336" t="s">
        <v>1442</v>
      </c>
      <c r="F2635" s="338" t="s">
        <v>4576</v>
      </c>
      <c r="G2635" s="338" t="s">
        <v>413</v>
      </c>
      <c r="H2635" s="338" t="s">
        <v>425</v>
      </c>
      <c r="I2635" s="338" t="s">
        <v>411</v>
      </c>
      <c r="J2635" s="339"/>
      <c r="K2635" s="339"/>
      <c r="L2635" s="339"/>
      <c r="M2635" s="339"/>
      <c r="N2635" s="338"/>
      <c r="O2635" s="338" t="s">
        <v>432</v>
      </c>
      <c r="P2635" s="338" t="s">
        <v>417</v>
      </c>
    </row>
    <row r="2636" spans="2:16" x14ac:dyDescent="0.25">
      <c r="B2636" s="336" t="s">
        <v>416</v>
      </c>
      <c r="C2636" s="337">
        <v>39696</v>
      </c>
      <c r="D2636" s="338" t="s">
        <v>4575</v>
      </c>
      <c r="E2636" s="336" t="s">
        <v>3228</v>
      </c>
      <c r="F2636" s="338"/>
      <c r="G2636" s="338">
        <v>34.5</v>
      </c>
      <c r="H2636" s="338" t="s">
        <v>425</v>
      </c>
      <c r="I2636" s="338" t="s">
        <v>411</v>
      </c>
      <c r="J2636" s="339"/>
      <c r="K2636" s="339"/>
      <c r="L2636" s="339" t="s">
        <v>409</v>
      </c>
      <c r="M2636" s="339" t="s">
        <v>409</v>
      </c>
      <c r="N2636" s="338"/>
      <c r="O2636" s="338" t="s">
        <v>409</v>
      </c>
      <c r="P2636" s="338" t="s">
        <v>417</v>
      </c>
    </row>
    <row r="2637" spans="2:16" x14ac:dyDescent="0.25">
      <c r="B2637" s="336" t="s">
        <v>416</v>
      </c>
      <c r="C2637" s="337">
        <v>39695</v>
      </c>
      <c r="D2637" s="338" t="s">
        <v>4574</v>
      </c>
      <c r="E2637" s="336" t="s">
        <v>4573</v>
      </c>
      <c r="F2637" s="338"/>
      <c r="G2637" s="338" t="s">
        <v>413</v>
      </c>
      <c r="H2637" s="338" t="s">
        <v>412</v>
      </c>
      <c r="I2637" s="338" t="s">
        <v>411</v>
      </c>
      <c r="J2637" s="339"/>
      <c r="K2637" s="339"/>
      <c r="L2637" s="339" t="s">
        <v>409</v>
      </c>
      <c r="M2637" s="339" t="s">
        <v>409</v>
      </c>
      <c r="N2637" s="338" t="s">
        <v>417</v>
      </c>
      <c r="O2637" s="338" t="s">
        <v>409</v>
      </c>
      <c r="P2637" s="338" t="s">
        <v>482</v>
      </c>
    </row>
    <row r="2638" spans="2:16" x14ac:dyDescent="0.25">
      <c r="B2638" s="336" t="s">
        <v>416</v>
      </c>
      <c r="C2638" s="337">
        <v>39695</v>
      </c>
      <c r="D2638" s="338" t="s">
        <v>4572</v>
      </c>
      <c r="E2638" s="336" t="s">
        <v>4571</v>
      </c>
      <c r="F2638" s="338"/>
      <c r="G2638" s="338" t="s">
        <v>413</v>
      </c>
      <c r="H2638" s="338" t="s">
        <v>412</v>
      </c>
      <c r="I2638" s="338" t="s">
        <v>411</v>
      </c>
      <c r="J2638" s="339"/>
      <c r="K2638" s="339"/>
      <c r="L2638" s="339" t="s">
        <v>409</v>
      </c>
      <c r="M2638" s="339" t="s">
        <v>409</v>
      </c>
      <c r="N2638" s="338" t="s">
        <v>417</v>
      </c>
      <c r="O2638" s="338" t="s">
        <v>409</v>
      </c>
      <c r="P2638" s="338" t="s">
        <v>432</v>
      </c>
    </row>
    <row r="2639" spans="2:16" x14ac:dyDescent="0.25">
      <c r="B2639" s="336" t="s">
        <v>416</v>
      </c>
      <c r="C2639" s="337">
        <v>39695</v>
      </c>
      <c r="D2639" s="338" t="s">
        <v>956</v>
      </c>
      <c r="E2639" s="336" t="s">
        <v>4570</v>
      </c>
      <c r="F2639" s="338" t="s">
        <v>4569</v>
      </c>
      <c r="G2639" s="338" t="s">
        <v>413</v>
      </c>
      <c r="H2639" s="338" t="s">
        <v>425</v>
      </c>
      <c r="I2639" s="338" t="s">
        <v>411</v>
      </c>
      <c r="J2639" s="339"/>
      <c r="K2639" s="339"/>
      <c r="L2639" s="339"/>
      <c r="M2639" s="339"/>
      <c r="N2639" s="338"/>
      <c r="O2639" s="338" t="s">
        <v>417</v>
      </c>
      <c r="P2639" s="338" t="s">
        <v>432</v>
      </c>
    </row>
    <row r="2640" spans="2:16" x14ac:dyDescent="0.25">
      <c r="B2640" s="336" t="s">
        <v>416</v>
      </c>
      <c r="C2640" s="337">
        <v>39695</v>
      </c>
      <c r="D2640" s="338" t="s">
        <v>4239</v>
      </c>
      <c r="E2640" s="336" t="s">
        <v>2090</v>
      </c>
      <c r="F2640" s="338" t="s">
        <v>1197</v>
      </c>
      <c r="G2640" s="338">
        <v>705.72</v>
      </c>
      <c r="H2640" s="338" t="s">
        <v>336</v>
      </c>
      <c r="I2640" s="338" t="s">
        <v>411</v>
      </c>
      <c r="J2640" s="339"/>
      <c r="K2640" s="339"/>
      <c r="L2640" s="339"/>
      <c r="M2640" s="339"/>
      <c r="N2640" s="338" t="s">
        <v>410</v>
      </c>
      <c r="O2640" s="338" t="s">
        <v>443</v>
      </c>
      <c r="P2640" s="338" t="s">
        <v>417</v>
      </c>
    </row>
    <row r="2641" spans="2:16" x14ac:dyDescent="0.25">
      <c r="B2641" s="336" t="s">
        <v>416</v>
      </c>
      <c r="C2641" s="337">
        <v>39694</v>
      </c>
      <c r="D2641" s="338" t="s">
        <v>4568</v>
      </c>
      <c r="E2641" s="336" t="s">
        <v>4567</v>
      </c>
      <c r="F2641" s="338"/>
      <c r="G2641" s="338">
        <v>2.69</v>
      </c>
      <c r="H2641" s="338" t="s">
        <v>336</v>
      </c>
      <c r="I2641" s="338" t="s">
        <v>411</v>
      </c>
      <c r="J2641" s="339"/>
      <c r="K2641" s="339"/>
      <c r="L2641" s="339" t="s">
        <v>409</v>
      </c>
      <c r="M2641" s="339" t="s">
        <v>409</v>
      </c>
      <c r="N2641" s="338" t="s">
        <v>410</v>
      </c>
      <c r="O2641" s="338" t="s">
        <v>409</v>
      </c>
      <c r="P2641" s="338" t="s">
        <v>417</v>
      </c>
    </row>
    <row r="2642" spans="2:16" x14ac:dyDescent="0.25">
      <c r="B2642" s="336" t="s">
        <v>416</v>
      </c>
      <c r="C2642" s="337">
        <v>39694</v>
      </c>
      <c r="D2642" s="338" t="s">
        <v>4566</v>
      </c>
      <c r="E2642" s="336" t="s">
        <v>889</v>
      </c>
      <c r="F2642" s="338"/>
      <c r="G2642" s="338" t="s">
        <v>413</v>
      </c>
      <c r="H2642" s="338" t="s">
        <v>412</v>
      </c>
      <c r="I2642" s="338" t="s">
        <v>411</v>
      </c>
      <c r="J2642" s="339"/>
      <c r="K2642" s="339"/>
      <c r="L2642" s="339" t="s">
        <v>409</v>
      </c>
      <c r="M2642" s="339" t="s">
        <v>409</v>
      </c>
      <c r="N2642" s="338" t="s">
        <v>487</v>
      </c>
      <c r="O2642" s="338" t="s">
        <v>409</v>
      </c>
      <c r="P2642" s="338" t="s">
        <v>410</v>
      </c>
    </row>
    <row r="2643" spans="2:16" x14ac:dyDescent="0.25">
      <c r="B2643" s="336" t="s">
        <v>416</v>
      </c>
      <c r="C2643" s="337">
        <v>39694</v>
      </c>
      <c r="D2643" s="338" t="s">
        <v>4565</v>
      </c>
      <c r="E2643" s="336" t="s">
        <v>2444</v>
      </c>
      <c r="F2643" s="338"/>
      <c r="G2643" s="338" t="s">
        <v>413</v>
      </c>
      <c r="H2643" s="338" t="s">
        <v>412</v>
      </c>
      <c r="I2643" s="338" t="s">
        <v>411</v>
      </c>
      <c r="J2643" s="339"/>
      <c r="K2643" s="339"/>
      <c r="L2643" s="339" t="s">
        <v>409</v>
      </c>
      <c r="M2643" s="339" t="s">
        <v>409</v>
      </c>
      <c r="N2643" s="338"/>
      <c r="O2643" s="338" t="s">
        <v>409</v>
      </c>
      <c r="P2643" s="338" t="s">
        <v>417</v>
      </c>
    </row>
    <row r="2644" spans="2:16" x14ac:dyDescent="0.25">
      <c r="B2644" s="336" t="s">
        <v>416</v>
      </c>
      <c r="C2644" s="337">
        <v>39694</v>
      </c>
      <c r="D2644" s="338" t="s">
        <v>4564</v>
      </c>
      <c r="E2644" s="336" t="s">
        <v>1442</v>
      </c>
      <c r="F2644" s="338" t="s">
        <v>4563</v>
      </c>
      <c r="G2644" s="338" t="s">
        <v>413</v>
      </c>
      <c r="H2644" s="338" t="s">
        <v>425</v>
      </c>
      <c r="I2644" s="338" t="s">
        <v>411</v>
      </c>
      <c r="J2644" s="339"/>
      <c r="K2644" s="339"/>
      <c r="L2644" s="339"/>
      <c r="M2644" s="339"/>
      <c r="N2644" s="338"/>
      <c r="O2644" s="338" t="s">
        <v>417</v>
      </c>
      <c r="P2644" s="338" t="s">
        <v>417</v>
      </c>
    </row>
    <row r="2645" spans="2:16" x14ac:dyDescent="0.25">
      <c r="B2645" s="336" t="s">
        <v>416</v>
      </c>
      <c r="C2645" s="337">
        <v>39693</v>
      </c>
      <c r="D2645" s="338" t="s">
        <v>4562</v>
      </c>
      <c r="E2645" s="336" t="s">
        <v>4561</v>
      </c>
      <c r="F2645" s="338"/>
      <c r="G2645" s="338" t="s">
        <v>413</v>
      </c>
      <c r="H2645" s="338" t="s">
        <v>412</v>
      </c>
      <c r="I2645" s="338" t="s">
        <v>411</v>
      </c>
      <c r="J2645" s="339"/>
      <c r="K2645" s="339"/>
      <c r="L2645" s="339" t="s">
        <v>409</v>
      </c>
      <c r="M2645" s="339" t="s">
        <v>409</v>
      </c>
      <c r="N2645" s="338" t="s">
        <v>417</v>
      </c>
      <c r="O2645" s="338" t="s">
        <v>409</v>
      </c>
      <c r="P2645" s="338" t="s">
        <v>410</v>
      </c>
    </row>
    <row r="2646" spans="2:16" x14ac:dyDescent="0.25">
      <c r="B2646" s="336" t="s">
        <v>416</v>
      </c>
      <c r="C2646" s="337">
        <v>39693</v>
      </c>
      <c r="D2646" s="338" t="s">
        <v>4560</v>
      </c>
      <c r="E2646" s="336" t="s">
        <v>4559</v>
      </c>
      <c r="F2646" s="338" t="s">
        <v>444</v>
      </c>
      <c r="G2646" s="338" t="s">
        <v>413</v>
      </c>
      <c r="H2646" s="338" t="s">
        <v>425</v>
      </c>
      <c r="I2646" s="338" t="s">
        <v>411</v>
      </c>
      <c r="J2646" s="339"/>
      <c r="K2646" s="339"/>
      <c r="L2646" s="339"/>
      <c r="M2646" s="339"/>
      <c r="N2646" s="338"/>
      <c r="O2646" s="338" t="s">
        <v>417</v>
      </c>
      <c r="P2646" s="338" t="s">
        <v>443</v>
      </c>
    </row>
    <row r="2647" spans="2:16" x14ac:dyDescent="0.25">
      <c r="B2647" s="336" t="s">
        <v>416</v>
      </c>
      <c r="C2647" s="337">
        <v>39693</v>
      </c>
      <c r="D2647" s="338" t="s">
        <v>4558</v>
      </c>
      <c r="E2647" s="336" t="s">
        <v>669</v>
      </c>
      <c r="F2647" s="338"/>
      <c r="G2647" s="338" t="s">
        <v>413</v>
      </c>
      <c r="H2647" s="338" t="s">
        <v>412</v>
      </c>
      <c r="I2647" s="338" t="s">
        <v>411</v>
      </c>
      <c r="J2647" s="339"/>
      <c r="K2647" s="339"/>
      <c r="L2647" s="339" t="s">
        <v>409</v>
      </c>
      <c r="M2647" s="339" t="s">
        <v>409</v>
      </c>
      <c r="N2647" s="338" t="s">
        <v>612</v>
      </c>
      <c r="O2647" s="338" t="s">
        <v>409</v>
      </c>
      <c r="P2647" s="338"/>
    </row>
    <row r="2648" spans="2:16" x14ac:dyDescent="0.25">
      <c r="B2648" s="336" t="s">
        <v>416</v>
      </c>
      <c r="C2648" s="337">
        <v>39693</v>
      </c>
      <c r="D2648" s="338" t="s">
        <v>4557</v>
      </c>
      <c r="E2648" s="336" t="s">
        <v>4556</v>
      </c>
      <c r="F2648" s="338" t="s">
        <v>444</v>
      </c>
      <c r="G2648" s="338" t="s">
        <v>413</v>
      </c>
      <c r="H2648" s="338" t="s">
        <v>425</v>
      </c>
      <c r="I2648" s="338" t="s">
        <v>411</v>
      </c>
      <c r="J2648" s="339"/>
      <c r="K2648" s="339"/>
      <c r="L2648" s="339"/>
      <c r="M2648" s="339"/>
      <c r="N2648" s="338"/>
      <c r="O2648" s="338" t="s">
        <v>417</v>
      </c>
      <c r="P2648" s="338" t="s">
        <v>543</v>
      </c>
    </row>
    <row r="2649" spans="2:16" x14ac:dyDescent="0.25">
      <c r="B2649" s="336" t="s">
        <v>416</v>
      </c>
      <c r="C2649" s="337">
        <v>39692</v>
      </c>
      <c r="D2649" s="338" t="s">
        <v>446</v>
      </c>
      <c r="E2649" s="336" t="s">
        <v>4555</v>
      </c>
      <c r="F2649" s="338" t="s">
        <v>445</v>
      </c>
      <c r="G2649" s="338" t="s">
        <v>413</v>
      </c>
      <c r="H2649" s="338" t="s">
        <v>412</v>
      </c>
      <c r="I2649" s="338" t="s">
        <v>411</v>
      </c>
      <c r="J2649" s="339">
        <v>0.57777800000000001</v>
      </c>
      <c r="K2649" s="339">
        <v>5.8871500000000001</v>
      </c>
      <c r="L2649" s="339"/>
      <c r="M2649" s="339"/>
      <c r="N2649" s="338" t="s">
        <v>417</v>
      </c>
      <c r="O2649" s="338" t="s">
        <v>443</v>
      </c>
      <c r="P2649" s="338" t="s">
        <v>417</v>
      </c>
    </row>
    <row r="2650" spans="2:16" x14ac:dyDescent="0.25">
      <c r="B2650" s="336" t="s">
        <v>416</v>
      </c>
      <c r="C2650" s="337">
        <v>39689</v>
      </c>
      <c r="D2650" s="338" t="s">
        <v>4554</v>
      </c>
      <c r="E2650" s="336" t="s">
        <v>1489</v>
      </c>
      <c r="F2650" s="338" t="s">
        <v>4553</v>
      </c>
      <c r="G2650" s="338" t="s">
        <v>413</v>
      </c>
      <c r="H2650" s="338" t="s">
        <v>412</v>
      </c>
      <c r="I2650" s="338" t="s">
        <v>411</v>
      </c>
      <c r="J2650" s="339"/>
      <c r="K2650" s="339"/>
      <c r="L2650" s="339"/>
      <c r="M2650" s="339"/>
      <c r="N2650" s="338"/>
      <c r="O2650" s="338" t="s">
        <v>487</v>
      </c>
      <c r="P2650" s="338" t="s">
        <v>417</v>
      </c>
    </row>
    <row r="2651" spans="2:16" x14ac:dyDescent="0.25">
      <c r="B2651" s="336" t="s">
        <v>416</v>
      </c>
      <c r="C2651" s="337">
        <v>39688</v>
      </c>
      <c r="D2651" s="338" t="s">
        <v>4552</v>
      </c>
      <c r="E2651" s="336" t="s">
        <v>4551</v>
      </c>
      <c r="F2651" s="338"/>
      <c r="G2651" s="338" t="s">
        <v>413</v>
      </c>
      <c r="H2651" s="338" t="s">
        <v>412</v>
      </c>
      <c r="I2651" s="338" t="s">
        <v>411</v>
      </c>
      <c r="J2651" s="339"/>
      <c r="K2651" s="339"/>
      <c r="L2651" s="339" t="s">
        <v>409</v>
      </c>
      <c r="M2651" s="339" t="s">
        <v>409</v>
      </c>
      <c r="N2651" s="338" t="s">
        <v>417</v>
      </c>
      <c r="O2651" s="338" t="s">
        <v>409</v>
      </c>
      <c r="P2651" s="338" t="s">
        <v>417</v>
      </c>
    </row>
    <row r="2652" spans="2:16" x14ac:dyDescent="0.25">
      <c r="B2652" s="336" t="s">
        <v>416</v>
      </c>
      <c r="C2652" s="337">
        <v>39688</v>
      </c>
      <c r="D2652" s="338" t="s">
        <v>4550</v>
      </c>
      <c r="E2652" s="336" t="s">
        <v>4144</v>
      </c>
      <c r="F2652" s="338" t="s">
        <v>4549</v>
      </c>
      <c r="G2652" s="338">
        <v>46.5</v>
      </c>
      <c r="H2652" s="338" t="s">
        <v>425</v>
      </c>
      <c r="I2652" s="338" t="s">
        <v>411</v>
      </c>
      <c r="J2652" s="339"/>
      <c r="K2652" s="339"/>
      <c r="L2652" s="339"/>
      <c r="M2652" s="339"/>
      <c r="N2652" s="338"/>
      <c r="O2652" s="338" t="s">
        <v>417</v>
      </c>
      <c r="P2652" s="338" t="s">
        <v>408</v>
      </c>
    </row>
    <row r="2653" spans="2:16" x14ac:dyDescent="0.25">
      <c r="B2653" s="336" t="s">
        <v>416</v>
      </c>
      <c r="C2653" s="337">
        <v>39688</v>
      </c>
      <c r="D2653" s="338" t="s">
        <v>4548</v>
      </c>
      <c r="E2653" s="336" t="s">
        <v>4547</v>
      </c>
      <c r="F2653" s="338"/>
      <c r="G2653" s="338" t="s">
        <v>413</v>
      </c>
      <c r="H2653" s="338" t="s">
        <v>412</v>
      </c>
      <c r="I2653" s="338" t="s">
        <v>411</v>
      </c>
      <c r="J2653" s="339"/>
      <c r="K2653" s="339"/>
      <c r="L2653" s="339" t="s">
        <v>409</v>
      </c>
      <c r="M2653" s="339" t="s">
        <v>409</v>
      </c>
      <c r="N2653" s="338" t="s">
        <v>417</v>
      </c>
      <c r="O2653" s="338" t="s">
        <v>409</v>
      </c>
      <c r="P2653" s="338" t="s">
        <v>417</v>
      </c>
    </row>
    <row r="2654" spans="2:16" x14ac:dyDescent="0.25">
      <c r="B2654" s="336" t="s">
        <v>416</v>
      </c>
      <c r="C2654" s="337">
        <v>39686</v>
      </c>
      <c r="D2654" s="338" t="s">
        <v>4546</v>
      </c>
      <c r="E2654" s="336" t="s">
        <v>4093</v>
      </c>
      <c r="F2654" s="338"/>
      <c r="G2654" s="338" t="s">
        <v>413</v>
      </c>
      <c r="H2654" s="338" t="s">
        <v>412</v>
      </c>
      <c r="I2654" s="338" t="s">
        <v>411</v>
      </c>
      <c r="J2654" s="339"/>
      <c r="K2654" s="339"/>
      <c r="L2654" s="339" t="s">
        <v>409</v>
      </c>
      <c r="M2654" s="339" t="s">
        <v>409</v>
      </c>
      <c r="N2654" s="338" t="s">
        <v>417</v>
      </c>
      <c r="O2654" s="338" t="s">
        <v>409</v>
      </c>
      <c r="P2654" s="338" t="s">
        <v>605</v>
      </c>
    </row>
    <row r="2655" spans="2:16" x14ac:dyDescent="0.25">
      <c r="B2655" s="336" t="s">
        <v>416</v>
      </c>
      <c r="C2655" s="337">
        <v>39686</v>
      </c>
      <c r="D2655" s="338" t="s">
        <v>4545</v>
      </c>
      <c r="E2655" s="336" t="s">
        <v>4544</v>
      </c>
      <c r="F2655" s="338"/>
      <c r="G2655" s="338" t="s">
        <v>413</v>
      </c>
      <c r="H2655" s="338" t="s">
        <v>412</v>
      </c>
      <c r="I2655" s="338" t="s">
        <v>411</v>
      </c>
      <c r="J2655" s="339"/>
      <c r="K2655" s="339"/>
      <c r="L2655" s="339" t="s">
        <v>409</v>
      </c>
      <c r="M2655" s="339" t="s">
        <v>409</v>
      </c>
      <c r="N2655" s="338" t="s">
        <v>410</v>
      </c>
      <c r="O2655" s="338" t="s">
        <v>409</v>
      </c>
      <c r="P2655" s="338" t="s">
        <v>432</v>
      </c>
    </row>
    <row r="2656" spans="2:16" x14ac:dyDescent="0.25">
      <c r="B2656" s="336" t="s">
        <v>416</v>
      </c>
      <c r="C2656" s="337">
        <v>39686</v>
      </c>
      <c r="D2656" s="338" t="s">
        <v>4543</v>
      </c>
      <c r="E2656" s="336" t="s">
        <v>3553</v>
      </c>
      <c r="F2656" s="338"/>
      <c r="G2656" s="338" t="s">
        <v>413</v>
      </c>
      <c r="H2656" s="338" t="s">
        <v>425</v>
      </c>
      <c r="I2656" s="338" t="s">
        <v>411</v>
      </c>
      <c r="J2656" s="339"/>
      <c r="K2656" s="339"/>
      <c r="L2656" s="339" t="s">
        <v>409</v>
      </c>
      <c r="M2656" s="339" t="s">
        <v>409</v>
      </c>
      <c r="N2656" s="338" t="s">
        <v>417</v>
      </c>
      <c r="O2656" s="338" t="s">
        <v>409</v>
      </c>
      <c r="P2656" s="338" t="s">
        <v>417</v>
      </c>
    </row>
    <row r="2657" spans="2:16" x14ac:dyDescent="0.25">
      <c r="B2657" s="336" t="s">
        <v>416</v>
      </c>
      <c r="C2657" s="337">
        <v>39685</v>
      </c>
      <c r="D2657" s="338" t="s">
        <v>4542</v>
      </c>
      <c r="E2657" s="336" t="s">
        <v>1147</v>
      </c>
      <c r="F2657" s="338" t="s">
        <v>1220</v>
      </c>
      <c r="G2657" s="338">
        <v>43.3</v>
      </c>
      <c r="H2657" s="338" t="s">
        <v>425</v>
      </c>
      <c r="I2657" s="338" t="s">
        <v>411</v>
      </c>
      <c r="J2657" s="339"/>
      <c r="K2657" s="339"/>
      <c r="L2657" s="339">
        <v>0.32540599999999997</v>
      </c>
      <c r="M2657" s="339">
        <v>7.7339900000000004</v>
      </c>
      <c r="N2657" s="338"/>
      <c r="O2657" s="338" t="s">
        <v>417</v>
      </c>
      <c r="P2657" s="338" t="s">
        <v>410</v>
      </c>
    </row>
    <row r="2658" spans="2:16" x14ac:dyDescent="0.25">
      <c r="B2658" s="336" t="s">
        <v>416</v>
      </c>
      <c r="C2658" s="337">
        <v>39685</v>
      </c>
      <c r="D2658" s="338" t="s">
        <v>1221</v>
      </c>
      <c r="E2658" s="336" t="s">
        <v>4541</v>
      </c>
      <c r="F2658" s="338" t="s">
        <v>1220</v>
      </c>
      <c r="G2658" s="338">
        <v>35</v>
      </c>
      <c r="H2658" s="338" t="s">
        <v>425</v>
      </c>
      <c r="I2658" s="338" t="s">
        <v>411</v>
      </c>
      <c r="J2658" s="339"/>
      <c r="K2658" s="339"/>
      <c r="L2658" s="339">
        <v>0.32540599999999997</v>
      </c>
      <c r="M2658" s="339">
        <v>7.7339900000000004</v>
      </c>
      <c r="N2658" s="338" t="s">
        <v>417</v>
      </c>
      <c r="O2658" s="338" t="s">
        <v>417</v>
      </c>
      <c r="P2658" s="338" t="s">
        <v>417</v>
      </c>
    </row>
    <row r="2659" spans="2:16" x14ac:dyDescent="0.25">
      <c r="B2659" s="336" t="s">
        <v>416</v>
      </c>
      <c r="C2659" s="337">
        <v>39682</v>
      </c>
      <c r="D2659" s="338" t="s">
        <v>4540</v>
      </c>
      <c r="E2659" s="336" t="s">
        <v>1197</v>
      </c>
      <c r="F2659" s="338"/>
      <c r="G2659" s="338" t="s">
        <v>413</v>
      </c>
      <c r="H2659" s="338" t="s">
        <v>425</v>
      </c>
      <c r="I2659" s="338" t="s">
        <v>411</v>
      </c>
      <c r="J2659" s="339"/>
      <c r="K2659" s="339"/>
      <c r="L2659" s="339" t="s">
        <v>409</v>
      </c>
      <c r="M2659" s="339" t="s">
        <v>409</v>
      </c>
      <c r="N2659" s="338" t="s">
        <v>417</v>
      </c>
      <c r="O2659" s="338" t="s">
        <v>409</v>
      </c>
      <c r="P2659" s="338" t="s">
        <v>443</v>
      </c>
    </row>
    <row r="2660" spans="2:16" x14ac:dyDescent="0.25">
      <c r="B2660" s="336" t="s">
        <v>416</v>
      </c>
      <c r="C2660" s="337">
        <v>39682</v>
      </c>
      <c r="D2660" s="338" t="s">
        <v>4539</v>
      </c>
      <c r="E2660" s="336" t="s">
        <v>4538</v>
      </c>
      <c r="F2660" s="338" t="s">
        <v>3570</v>
      </c>
      <c r="G2660" s="338">
        <v>5.5</v>
      </c>
      <c r="H2660" s="338" t="s">
        <v>425</v>
      </c>
      <c r="I2660" s="338" t="s">
        <v>411</v>
      </c>
      <c r="J2660" s="339"/>
      <c r="K2660" s="339"/>
      <c r="L2660" s="339"/>
      <c r="M2660" s="339"/>
      <c r="N2660" s="338"/>
      <c r="O2660" s="338" t="s">
        <v>417</v>
      </c>
      <c r="P2660" s="338" t="s">
        <v>417</v>
      </c>
    </row>
    <row r="2661" spans="2:16" x14ac:dyDescent="0.25">
      <c r="B2661" s="336" t="s">
        <v>416</v>
      </c>
      <c r="C2661" s="337">
        <v>39681</v>
      </c>
      <c r="D2661" s="338" t="s">
        <v>4537</v>
      </c>
      <c r="E2661" s="336" t="s">
        <v>4536</v>
      </c>
      <c r="F2661" s="338"/>
      <c r="G2661" s="338" t="s">
        <v>413</v>
      </c>
      <c r="H2661" s="338" t="s">
        <v>425</v>
      </c>
      <c r="I2661" s="338" t="s">
        <v>411</v>
      </c>
      <c r="J2661" s="339"/>
      <c r="K2661" s="339"/>
      <c r="L2661" s="339" t="s">
        <v>409</v>
      </c>
      <c r="M2661" s="339" t="s">
        <v>409</v>
      </c>
      <c r="N2661" s="338"/>
      <c r="O2661" s="338" t="s">
        <v>409</v>
      </c>
      <c r="P2661" s="338" t="s">
        <v>410</v>
      </c>
    </row>
    <row r="2662" spans="2:16" x14ac:dyDescent="0.25">
      <c r="B2662" s="336" t="s">
        <v>459</v>
      </c>
      <c r="C2662" s="337">
        <v>39681</v>
      </c>
      <c r="D2662" s="338" t="s">
        <v>4535</v>
      </c>
      <c r="E2662" s="336" t="s">
        <v>4534</v>
      </c>
      <c r="F2662" s="338"/>
      <c r="G2662" s="338" t="s">
        <v>413</v>
      </c>
      <c r="H2662" s="338" t="s">
        <v>412</v>
      </c>
      <c r="I2662" s="338" t="s">
        <v>411</v>
      </c>
      <c r="J2662" s="339"/>
      <c r="K2662" s="339"/>
      <c r="L2662" s="339" t="s">
        <v>409</v>
      </c>
      <c r="M2662" s="339" t="s">
        <v>409</v>
      </c>
      <c r="N2662" s="338" t="s">
        <v>417</v>
      </c>
      <c r="O2662" s="338" t="s">
        <v>409</v>
      </c>
      <c r="P2662" s="338" t="s">
        <v>432</v>
      </c>
    </row>
    <row r="2663" spans="2:16" x14ac:dyDescent="0.25">
      <c r="B2663" s="336" t="s">
        <v>416</v>
      </c>
      <c r="C2663" s="337">
        <v>39681</v>
      </c>
      <c r="D2663" s="338" t="s">
        <v>4533</v>
      </c>
      <c r="E2663" s="336" t="s">
        <v>4532</v>
      </c>
      <c r="F2663" s="338"/>
      <c r="G2663" s="338" t="s">
        <v>413</v>
      </c>
      <c r="H2663" s="338" t="s">
        <v>412</v>
      </c>
      <c r="I2663" s="338" t="s">
        <v>411</v>
      </c>
      <c r="J2663" s="339"/>
      <c r="K2663" s="339"/>
      <c r="L2663" s="339" t="s">
        <v>409</v>
      </c>
      <c r="M2663" s="339" t="s">
        <v>409</v>
      </c>
      <c r="N2663" s="338" t="s">
        <v>417</v>
      </c>
      <c r="O2663" s="338" t="s">
        <v>409</v>
      </c>
      <c r="P2663" s="338" t="s">
        <v>432</v>
      </c>
    </row>
    <row r="2664" spans="2:16" x14ac:dyDescent="0.25">
      <c r="B2664" s="336" t="s">
        <v>416</v>
      </c>
      <c r="C2664" s="337">
        <v>39681</v>
      </c>
      <c r="D2664" s="338" t="s">
        <v>956</v>
      </c>
      <c r="E2664" s="336" t="s">
        <v>4531</v>
      </c>
      <c r="F2664" s="338" t="s">
        <v>4530</v>
      </c>
      <c r="G2664" s="338">
        <v>168</v>
      </c>
      <c r="H2664" s="338" t="s">
        <v>425</v>
      </c>
      <c r="I2664" s="338" t="s">
        <v>411</v>
      </c>
      <c r="J2664" s="339"/>
      <c r="K2664" s="339"/>
      <c r="L2664" s="339"/>
      <c r="M2664" s="339"/>
      <c r="N2664" s="338"/>
      <c r="O2664" s="338" t="s">
        <v>417</v>
      </c>
      <c r="P2664" s="338" t="s">
        <v>443</v>
      </c>
    </row>
    <row r="2665" spans="2:16" x14ac:dyDescent="0.25">
      <c r="B2665" s="336" t="s">
        <v>416</v>
      </c>
      <c r="C2665" s="337">
        <v>39681</v>
      </c>
      <c r="D2665" s="338" t="s">
        <v>4529</v>
      </c>
      <c r="E2665" s="336" t="s">
        <v>4528</v>
      </c>
      <c r="F2665" s="338"/>
      <c r="G2665" s="338" t="s">
        <v>413</v>
      </c>
      <c r="H2665" s="338" t="s">
        <v>412</v>
      </c>
      <c r="I2665" s="338" t="s">
        <v>411</v>
      </c>
      <c r="J2665" s="339"/>
      <c r="K2665" s="339"/>
      <c r="L2665" s="339" t="s">
        <v>409</v>
      </c>
      <c r="M2665" s="339" t="s">
        <v>409</v>
      </c>
      <c r="N2665" s="338"/>
      <c r="O2665" s="338" t="s">
        <v>409</v>
      </c>
      <c r="P2665" s="338" t="s">
        <v>432</v>
      </c>
    </row>
    <row r="2666" spans="2:16" x14ac:dyDescent="0.25">
      <c r="B2666" s="336" t="s">
        <v>416</v>
      </c>
      <c r="C2666" s="337">
        <v>39680</v>
      </c>
      <c r="D2666" s="338" t="s">
        <v>4527</v>
      </c>
      <c r="E2666" s="336" t="s">
        <v>4526</v>
      </c>
      <c r="F2666" s="338"/>
      <c r="G2666" s="338">
        <v>53</v>
      </c>
      <c r="H2666" s="338" t="s">
        <v>425</v>
      </c>
      <c r="I2666" s="338" t="s">
        <v>411</v>
      </c>
      <c r="J2666" s="339"/>
      <c r="K2666" s="339"/>
      <c r="L2666" s="339" t="s">
        <v>409</v>
      </c>
      <c r="M2666" s="339" t="s">
        <v>409</v>
      </c>
      <c r="N2666" s="338"/>
      <c r="O2666" s="338" t="s">
        <v>409</v>
      </c>
      <c r="P2666" s="338"/>
    </row>
    <row r="2667" spans="2:16" x14ac:dyDescent="0.25">
      <c r="B2667" s="336" t="s">
        <v>416</v>
      </c>
      <c r="C2667" s="337">
        <v>39680</v>
      </c>
      <c r="D2667" s="338" t="s">
        <v>4525</v>
      </c>
      <c r="E2667" s="336" t="s">
        <v>4524</v>
      </c>
      <c r="F2667" s="338" t="s">
        <v>889</v>
      </c>
      <c r="G2667" s="338" t="s">
        <v>413</v>
      </c>
      <c r="H2667" s="338" t="s">
        <v>425</v>
      </c>
      <c r="I2667" s="338" t="s">
        <v>411</v>
      </c>
      <c r="J2667" s="339"/>
      <c r="K2667" s="339"/>
      <c r="L2667" s="339">
        <v>2.9470299999999998</v>
      </c>
      <c r="M2667" s="339">
        <v>13.790100000000001</v>
      </c>
      <c r="N2667" s="338"/>
      <c r="O2667" s="338" t="s">
        <v>410</v>
      </c>
      <c r="P2667" s="338"/>
    </row>
    <row r="2668" spans="2:16" x14ac:dyDescent="0.25">
      <c r="B2668" s="336" t="s">
        <v>416</v>
      </c>
      <c r="C2668" s="337">
        <v>39679</v>
      </c>
      <c r="D2668" s="338" t="s">
        <v>4523</v>
      </c>
      <c r="E2668" s="336" t="s">
        <v>4522</v>
      </c>
      <c r="F2668" s="338" t="s">
        <v>4521</v>
      </c>
      <c r="G2668" s="338" t="s">
        <v>413</v>
      </c>
      <c r="H2668" s="338" t="s">
        <v>425</v>
      </c>
      <c r="I2668" s="338" t="s">
        <v>411</v>
      </c>
      <c r="J2668" s="339"/>
      <c r="K2668" s="339"/>
      <c r="L2668" s="339">
        <v>1.4622900000000001</v>
      </c>
      <c r="M2668" s="339">
        <v>10.2959</v>
      </c>
      <c r="N2668" s="338" t="s">
        <v>417</v>
      </c>
      <c r="O2668" s="338" t="s">
        <v>417</v>
      </c>
      <c r="P2668" s="338"/>
    </row>
    <row r="2669" spans="2:16" x14ac:dyDescent="0.25">
      <c r="B2669" s="336" t="s">
        <v>416</v>
      </c>
      <c r="C2669" s="337">
        <v>39679</v>
      </c>
      <c r="D2669" s="338" t="s">
        <v>4520</v>
      </c>
      <c r="E2669" s="336" t="s">
        <v>939</v>
      </c>
      <c r="F2669" s="338" t="s">
        <v>4519</v>
      </c>
      <c r="G2669" s="338" t="s">
        <v>413</v>
      </c>
      <c r="H2669" s="338" t="s">
        <v>425</v>
      </c>
      <c r="I2669" s="338" t="s">
        <v>411</v>
      </c>
      <c r="J2669" s="339">
        <v>8.5358099999999997</v>
      </c>
      <c r="K2669" s="339"/>
      <c r="L2669" s="339">
        <v>0.231154</v>
      </c>
      <c r="M2669" s="339"/>
      <c r="N2669" s="338" t="s">
        <v>417</v>
      </c>
      <c r="O2669" s="338" t="s">
        <v>417</v>
      </c>
      <c r="P2669" s="338"/>
    </row>
    <row r="2670" spans="2:16" x14ac:dyDescent="0.25">
      <c r="B2670" s="336" t="s">
        <v>416</v>
      </c>
      <c r="C2670" s="337">
        <v>39678</v>
      </c>
      <c r="D2670" s="338" t="s">
        <v>4518</v>
      </c>
      <c r="E2670" s="336" t="s">
        <v>1527</v>
      </c>
      <c r="F2670" s="338"/>
      <c r="G2670" s="338">
        <v>72.900000000000006</v>
      </c>
      <c r="H2670" s="338" t="s">
        <v>429</v>
      </c>
      <c r="I2670" s="338" t="s">
        <v>411</v>
      </c>
      <c r="J2670" s="339"/>
      <c r="K2670" s="339"/>
      <c r="L2670" s="339" t="s">
        <v>409</v>
      </c>
      <c r="M2670" s="339" t="s">
        <v>409</v>
      </c>
      <c r="N2670" s="338" t="s">
        <v>417</v>
      </c>
      <c r="O2670" s="338" t="s">
        <v>409</v>
      </c>
      <c r="P2670" s="338" t="s">
        <v>417</v>
      </c>
    </row>
    <row r="2671" spans="2:16" x14ac:dyDescent="0.25">
      <c r="B2671" s="336" t="s">
        <v>416</v>
      </c>
      <c r="C2671" s="337">
        <v>39678</v>
      </c>
      <c r="D2671" s="338" t="s">
        <v>4517</v>
      </c>
      <c r="E2671" s="336" t="s">
        <v>4516</v>
      </c>
      <c r="F2671" s="338"/>
      <c r="G2671" s="338" t="s">
        <v>413</v>
      </c>
      <c r="H2671" s="338" t="s">
        <v>412</v>
      </c>
      <c r="I2671" s="338" t="s">
        <v>411</v>
      </c>
      <c r="J2671" s="339"/>
      <c r="K2671" s="339"/>
      <c r="L2671" s="339" t="s">
        <v>409</v>
      </c>
      <c r="M2671" s="339" t="s">
        <v>409</v>
      </c>
      <c r="N2671" s="338" t="s">
        <v>410</v>
      </c>
      <c r="O2671" s="338" t="s">
        <v>409</v>
      </c>
      <c r="P2671" s="338" t="s">
        <v>417</v>
      </c>
    </row>
    <row r="2672" spans="2:16" x14ac:dyDescent="0.25">
      <c r="B2672" s="336" t="s">
        <v>416</v>
      </c>
      <c r="C2672" s="337">
        <v>39678</v>
      </c>
      <c r="D2672" s="338" t="s">
        <v>4515</v>
      </c>
      <c r="E2672" s="336" t="s">
        <v>1733</v>
      </c>
      <c r="F2672" s="338" t="s">
        <v>1476</v>
      </c>
      <c r="G2672" s="338">
        <v>131.5</v>
      </c>
      <c r="H2672" s="338" t="s">
        <v>425</v>
      </c>
      <c r="I2672" s="338" t="s">
        <v>411</v>
      </c>
      <c r="J2672" s="339"/>
      <c r="K2672" s="339"/>
      <c r="L2672" s="339">
        <v>1.35023</v>
      </c>
      <c r="M2672" s="339">
        <v>9.3802500000000002</v>
      </c>
      <c r="N2672" s="338" t="s">
        <v>417</v>
      </c>
      <c r="O2672" s="338" t="s">
        <v>417</v>
      </c>
      <c r="P2672" s="338" t="s">
        <v>443</v>
      </c>
    </row>
    <row r="2673" spans="2:16" x14ac:dyDescent="0.25">
      <c r="B2673" s="336" t="s">
        <v>416</v>
      </c>
      <c r="C2673" s="337">
        <v>39678</v>
      </c>
      <c r="D2673" s="338" t="s">
        <v>4514</v>
      </c>
      <c r="E2673" s="336" t="s">
        <v>4513</v>
      </c>
      <c r="F2673" s="338" t="s">
        <v>1900</v>
      </c>
      <c r="G2673" s="338" t="s">
        <v>413</v>
      </c>
      <c r="H2673" s="338" t="s">
        <v>425</v>
      </c>
      <c r="I2673" s="338" t="s">
        <v>411</v>
      </c>
      <c r="J2673" s="339"/>
      <c r="K2673" s="339"/>
      <c r="L2673" s="339">
        <v>0.37517499999999998</v>
      </c>
      <c r="M2673" s="339">
        <v>6.1096700000000004</v>
      </c>
      <c r="N2673" s="338"/>
      <c r="O2673" s="338" t="s">
        <v>410</v>
      </c>
      <c r="P2673" s="338" t="s">
        <v>417</v>
      </c>
    </row>
    <row r="2674" spans="2:16" x14ac:dyDescent="0.25">
      <c r="B2674" s="336" t="s">
        <v>416</v>
      </c>
      <c r="C2674" s="337">
        <v>39678</v>
      </c>
      <c r="D2674" s="338" t="s">
        <v>4512</v>
      </c>
      <c r="E2674" s="336" t="s">
        <v>1244</v>
      </c>
      <c r="F2674" s="338" t="s">
        <v>1032</v>
      </c>
      <c r="G2674" s="338" t="s">
        <v>413</v>
      </c>
      <c r="H2674" s="338" t="s">
        <v>412</v>
      </c>
      <c r="I2674" s="338" t="s">
        <v>411</v>
      </c>
      <c r="J2674" s="339"/>
      <c r="K2674" s="339"/>
      <c r="L2674" s="339">
        <v>2.6935500000000001</v>
      </c>
      <c r="M2674" s="339">
        <v>12.8904</v>
      </c>
      <c r="N2674" s="338" t="s">
        <v>417</v>
      </c>
      <c r="O2674" s="338" t="s">
        <v>417</v>
      </c>
      <c r="P2674" s="338" t="s">
        <v>443</v>
      </c>
    </row>
    <row r="2675" spans="2:16" x14ac:dyDescent="0.25">
      <c r="B2675" s="336" t="s">
        <v>416</v>
      </c>
      <c r="C2675" s="337">
        <v>39678</v>
      </c>
      <c r="D2675" s="338" t="s">
        <v>4511</v>
      </c>
      <c r="E2675" s="336" t="s">
        <v>4463</v>
      </c>
      <c r="F2675" s="338"/>
      <c r="G2675" s="338" t="s">
        <v>413</v>
      </c>
      <c r="H2675" s="338" t="s">
        <v>412</v>
      </c>
      <c r="I2675" s="338" t="s">
        <v>411</v>
      </c>
      <c r="J2675" s="339"/>
      <c r="K2675" s="339"/>
      <c r="L2675" s="339" t="s">
        <v>409</v>
      </c>
      <c r="M2675" s="339" t="s">
        <v>409</v>
      </c>
      <c r="N2675" s="338" t="s">
        <v>605</v>
      </c>
      <c r="O2675" s="338" t="s">
        <v>409</v>
      </c>
      <c r="P2675" s="338" t="s">
        <v>417</v>
      </c>
    </row>
    <row r="2676" spans="2:16" x14ac:dyDescent="0.25">
      <c r="B2676" s="336" t="s">
        <v>416</v>
      </c>
      <c r="C2676" s="337">
        <v>39675</v>
      </c>
      <c r="D2676" s="338" t="s">
        <v>4510</v>
      </c>
      <c r="E2676" s="336" t="s">
        <v>3794</v>
      </c>
      <c r="F2676" s="338"/>
      <c r="G2676" s="338" t="s">
        <v>413</v>
      </c>
      <c r="H2676" s="338" t="s">
        <v>412</v>
      </c>
      <c r="I2676" s="338" t="s">
        <v>411</v>
      </c>
      <c r="J2676" s="339"/>
      <c r="K2676" s="339"/>
      <c r="L2676" s="339" t="s">
        <v>409</v>
      </c>
      <c r="M2676" s="339" t="s">
        <v>409</v>
      </c>
      <c r="N2676" s="338" t="s">
        <v>432</v>
      </c>
      <c r="O2676" s="338" t="s">
        <v>409</v>
      </c>
      <c r="P2676" s="338" t="s">
        <v>417</v>
      </c>
    </row>
    <row r="2677" spans="2:16" x14ac:dyDescent="0.25">
      <c r="B2677" s="336" t="s">
        <v>416</v>
      </c>
      <c r="C2677" s="337">
        <v>39675</v>
      </c>
      <c r="D2677" s="338" t="s">
        <v>4509</v>
      </c>
      <c r="E2677" s="336" t="s">
        <v>4082</v>
      </c>
      <c r="F2677" s="338" t="s">
        <v>4508</v>
      </c>
      <c r="G2677" s="338" t="s">
        <v>413</v>
      </c>
      <c r="H2677" s="338" t="s">
        <v>425</v>
      </c>
      <c r="I2677" s="338" t="s">
        <v>411</v>
      </c>
      <c r="J2677" s="339"/>
      <c r="K2677" s="339"/>
      <c r="L2677" s="339"/>
      <c r="M2677" s="339"/>
      <c r="N2677" s="338"/>
      <c r="O2677" s="338" t="s">
        <v>417</v>
      </c>
      <c r="P2677" s="338" t="s">
        <v>410</v>
      </c>
    </row>
    <row r="2678" spans="2:16" x14ac:dyDescent="0.25">
      <c r="B2678" s="336" t="s">
        <v>416</v>
      </c>
      <c r="C2678" s="337">
        <v>39674</v>
      </c>
      <c r="D2678" s="338" t="s">
        <v>4507</v>
      </c>
      <c r="E2678" s="336" t="s">
        <v>1288</v>
      </c>
      <c r="F2678" s="338" t="s">
        <v>4506</v>
      </c>
      <c r="G2678" s="338" t="s">
        <v>413</v>
      </c>
      <c r="H2678" s="338" t="s">
        <v>425</v>
      </c>
      <c r="I2678" s="338" t="s">
        <v>411</v>
      </c>
      <c r="J2678" s="339"/>
      <c r="K2678" s="339"/>
      <c r="L2678" s="339"/>
      <c r="M2678" s="339"/>
      <c r="N2678" s="338"/>
      <c r="O2678" s="338" t="s">
        <v>417</v>
      </c>
      <c r="P2678" s="338" t="s">
        <v>417</v>
      </c>
    </row>
    <row r="2679" spans="2:16" x14ac:dyDescent="0.25">
      <c r="B2679" s="336" t="s">
        <v>416</v>
      </c>
      <c r="C2679" s="337">
        <v>39674</v>
      </c>
      <c r="D2679" s="338" t="s">
        <v>956</v>
      </c>
      <c r="E2679" s="336" t="s">
        <v>1442</v>
      </c>
      <c r="F2679" s="338" t="s">
        <v>4297</v>
      </c>
      <c r="G2679" s="338" t="s">
        <v>413</v>
      </c>
      <c r="H2679" s="338" t="s">
        <v>425</v>
      </c>
      <c r="I2679" s="338" t="s">
        <v>411</v>
      </c>
      <c r="J2679" s="339"/>
      <c r="K2679" s="339"/>
      <c r="L2679" s="339"/>
      <c r="M2679" s="339"/>
      <c r="N2679" s="338"/>
      <c r="O2679" s="338" t="s">
        <v>443</v>
      </c>
      <c r="P2679" s="338" t="s">
        <v>417</v>
      </c>
    </row>
    <row r="2680" spans="2:16" x14ac:dyDescent="0.25">
      <c r="B2680" s="336" t="s">
        <v>416</v>
      </c>
      <c r="C2680" s="337">
        <v>39674</v>
      </c>
      <c r="D2680" s="338" t="s">
        <v>4505</v>
      </c>
      <c r="E2680" s="336" t="s">
        <v>4504</v>
      </c>
      <c r="F2680" s="338" t="s">
        <v>804</v>
      </c>
      <c r="G2680" s="338" t="s">
        <v>413</v>
      </c>
      <c r="H2680" s="338" t="s">
        <v>412</v>
      </c>
      <c r="I2680" s="338" t="s">
        <v>411</v>
      </c>
      <c r="J2680" s="339"/>
      <c r="K2680" s="339"/>
      <c r="L2680" s="339"/>
      <c r="M2680" s="339"/>
      <c r="N2680" s="338" t="s">
        <v>417</v>
      </c>
      <c r="O2680" s="338" t="s">
        <v>443</v>
      </c>
      <c r="P2680" s="338" t="s">
        <v>443</v>
      </c>
    </row>
    <row r="2681" spans="2:16" x14ac:dyDescent="0.25">
      <c r="B2681" s="336" t="s">
        <v>416</v>
      </c>
      <c r="C2681" s="337">
        <v>39673</v>
      </c>
      <c r="D2681" s="338" t="s">
        <v>956</v>
      </c>
      <c r="E2681" s="336" t="s">
        <v>4503</v>
      </c>
      <c r="F2681" s="338" t="s">
        <v>4502</v>
      </c>
      <c r="G2681" s="338" t="s">
        <v>413</v>
      </c>
      <c r="H2681" s="338" t="s">
        <v>425</v>
      </c>
      <c r="I2681" s="338" t="s">
        <v>411</v>
      </c>
      <c r="J2681" s="339"/>
      <c r="K2681" s="339"/>
      <c r="L2681" s="339"/>
      <c r="M2681" s="339"/>
      <c r="N2681" s="338"/>
      <c r="O2681" s="338" t="s">
        <v>2471</v>
      </c>
      <c r="P2681" s="338" t="s">
        <v>432</v>
      </c>
    </row>
    <row r="2682" spans="2:16" x14ac:dyDescent="0.25">
      <c r="B2682" s="336" t="s">
        <v>416</v>
      </c>
      <c r="C2682" s="337">
        <v>39672</v>
      </c>
      <c r="D2682" s="338" t="s">
        <v>2669</v>
      </c>
      <c r="E2682" s="336" t="s">
        <v>4501</v>
      </c>
      <c r="F2682" s="338"/>
      <c r="G2682" s="338" t="s">
        <v>413</v>
      </c>
      <c r="H2682" s="338" t="s">
        <v>425</v>
      </c>
      <c r="I2682" s="338" t="s">
        <v>411</v>
      </c>
      <c r="J2682" s="339">
        <v>1.3081100000000001</v>
      </c>
      <c r="K2682" s="339">
        <v>15.663600000000001</v>
      </c>
      <c r="L2682" s="339" t="s">
        <v>409</v>
      </c>
      <c r="M2682" s="339" t="s">
        <v>409</v>
      </c>
      <c r="N2682" s="338" t="s">
        <v>417</v>
      </c>
      <c r="O2682" s="338" t="s">
        <v>409</v>
      </c>
      <c r="P2682" s="338" t="s">
        <v>443</v>
      </c>
    </row>
    <row r="2683" spans="2:16" x14ac:dyDescent="0.25">
      <c r="B2683" s="336" t="s">
        <v>416</v>
      </c>
      <c r="C2683" s="337">
        <v>39672</v>
      </c>
      <c r="D2683" s="338" t="s">
        <v>2334</v>
      </c>
      <c r="E2683" s="336" t="s">
        <v>2418</v>
      </c>
      <c r="F2683" s="338"/>
      <c r="G2683" s="338">
        <v>2839.63</v>
      </c>
      <c r="H2683" s="338" t="s">
        <v>425</v>
      </c>
      <c r="I2683" s="338" t="s">
        <v>411</v>
      </c>
      <c r="J2683" s="339">
        <v>0.34879199999999999</v>
      </c>
      <c r="K2683" s="339">
        <v>6.7402600000000001</v>
      </c>
      <c r="L2683" s="339" t="s">
        <v>409</v>
      </c>
      <c r="M2683" s="339" t="s">
        <v>409</v>
      </c>
      <c r="N2683" s="338" t="s">
        <v>417</v>
      </c>
      <c r="O2683" s="338" t="s">
        <v>409</v>
      </c>
      <c r="P2683" s="338" t="s">
        <v>417</v>
      </c>
    </row>
    <row r="2684" spans="2:16" x14ac:dyDescent="0.25">
      <c r="B2684" s="336" t="s">
        <v>416</v>
      </c>
      <c r="C2684" s="337">
        <v>39671</v>
      </c>
      <c r="D2684" s="338" t="s">
        <v>4500</v>
      </c>
      <c r="E2684" s="336" t="s">
        <v>2528</v>
      </c>
      <c r="F2684" s="338"/>
      <c r="G2684" s="338" t="s">
        <v>413</v>
      </c>
      <c r="H2684" s="338" t="s">
        <v>412</v>
      </c>
      <c r="I2684" s="338" t="s">
        <v>411</v>
      </c>
      <c r="J2684" s="339"/>
      <c r="K2684" s="339"/>
      <c r="L2684" s="339" t="s">
        <v>409</v>
      </c>
      <c r="M2684" s="339" t="s">
        <v>409</v>
      </c>
      <c r="N2684" s="338" t="s">
        <v>417</v>
      </c>
      <c r="O2684" s="338" t="s">
        <v>409</v>
      </c>
      <c r="P2684" s="338" t="s">
        <v>417</v>
      </c>
    </row>
    <row r="2685" spans="2:16" x14ac:dyDescent="0.25">
      <c r="B2685" s="336" t="s">
        <v>459</v>
      </c>
      <c r="C2685" s="337">
        <v>39671</v>
      </c>
      <c r="D2685" s="338" t="s">
        <v>4499</v>
      </c>
      <c r="E2685" s="336" t="s">
        <v>4498</v>
      </c>
      <c r="F2685" s="338"/>
      <c r="G2685" s="338">
        <v>0.25</v>
      </c>
      <c r="H2685" s="338" t="s">
        <v>425</v>
      </c>
      <c r="I2685" s="338" t="s">
        <v>411</v>
      </c>
      <c r="J2685" s="339"/>
      <c r="K2685" s="339"/>
      <c r="L2685" s="339" t="s">
        <v>409</v>
      </c>
      <c r="M2685" s="339" t="s">
        <v>409</v>
      </c>
      <c r="N2685" s="338" t="s">
        <v>417</v>
      </c>
      <c r="O2685" s="338" t="s">
        <v>409</v>
      </c>
      <c r="P2685" s="338" t="s">
        <v>443</v>
      </c>
    </row>
    <row r="2686" spans="2:16" x14ac:dyDescent="0.25">
      <c r="B2686" s="336" t="s">
        <v>416</v>
      </c>
      <c r="C2686" s="337">
        <v>39671</v>
      </c>
      <c r="D2686" s="338" t="s">
        <v>4497</v>
      </c>
      <c r="E2686" s="336" t="s">
        <v>656</v>
      </c>
      <c r="F2686" s="338"/>
      <c r="G2686" s="338">
        <v>191</v>
      </c>
      <c r="H2686" s="338" t="s">
        <v>429</v>
      </c>
      <c r="I2686" s="338" t="s">
        <v>411</v>
      </c>
      <c r="J2686" s="339"/>
      <c r="K2686" s="339"/>
      <c r="L2686" s="339" t="s">
        <v>409</v>
      </c>
      <c r="M2686" s="339" t="s">
        <v>409</v>
      </c>
      <c r="N2686" s="338" t="s">
        <v>482</v>
      </c>
      <c r="O2686" s="338" t="s">
        <v>409</v>
      </c>
      <c r="P2686" s="338" t="s">
        <v>408</v>
      </c>
    </row>
    <row r="2687" spans="2:16" x14ac:dyDescent="0.25">
      <c r="B2687" s="336" t="s">
        <v>416</v>
      </c>
      <c r="C2687" s="337">
        <v>39667</v>
      </c>
      <c r="D2687" s="338" t="s">
        <v>4496</v>
      </c>
      <c r="E2687" s="336" t="s">
        <v>2052</v>
      </c>
      <c r="F2687" s="338" t="s">
        <v>4495</v>
      </c>
      <c r="G2687" s="338">
        <v>35</v>
      </c>
      <c r="H2687" s="338" t="s">
        <v>425</v>
      </c>
      <c r="I2687" s="338" t="s">
        <v>411</v>
      </c>
      <c r="J2687" s="339"/>
      <c r="K2687" s="339"/>
      <c r="L2687" s="339"/>
      <c r="M2687" s="339"/>
      <c r="N2687" s="338"/>
      <c r="O2687" s="338" t="s">
        <v>417</v>
      </c>
      <c r="P2687" s="338" t="s">
        <v>443</v>
      </c>
    </row>
    <row r="2688" spans="2:16" x14ac:dyDescent="0.25">
      <c r="B2688" s="336" t="s">
        <v>416</v>
      </c>
      <c r="C2688" s="337">
        <v>39667</v>
      </c>
      <c r="D2688" s="338" t="s">
        <v>4494</v>
      </c>
      <c r="E2688" s="336" t="s">
        <v>4493</v>
      </c>
      <c r="F2688" s="338" t="s">
        <v>598</v>
      </c>
      <c r="G2688" s="338" t="s">
        <v>413</v>
      </c>
      <c r="H2688" s="338" t="s">
        <v>425</v>
      </c>
      <c r="I2688" s="338" t="s">
        <v>411</v>
      </c>
      <c r="J2688" s="339"/>
      <c r="K2688" s="339"/>
      <c r="L2688" s="339">
        <v>0.68403599999999998</v>
      </c>
      <c r="M2688" s="339">
        <v>13.4612</v>
      </c>
      <c r="N2688" s="338"/>
      <c r="O2688" s="338" t="s">
        <v>417</v>
      </c>
      <c r="P2688" s="338" t="s">
        <v>417</v>
      </c>
    </row>
    <row r="2689" spans="2:16" x14ac:dyDescent="0.25">
      <c r="B2689" s="336" t="s">
        <v>416</v>
      </c>
      <c r="C2689" s="337">
        <v>39666</v>
      </c>
      <c r="D2689" s="338" t="s">
        <v>4492</v>
      </c>
      <c r="E2689" s="336" t="s">
        <v>4491</v>
      </c>
      <c r="F2689" s="338" t="s">
        <v>4490</v>
      </c>
      <c r="G2689" s="338" t="s">
        <v>413</v>
      </c>
      <c r="H2689" s="338" t="s">
        <v>425</v>
      </c>
      <c r="I2689" s="338" t="s">
        <v>411</v>
      </c>
      <c r="J2689" s="339"/>
      <c r="K2689" s="339"/>
      <c r="L2689" s="339"/>
      <c r="M2689" s="339"/>
      <c r="N2689" s="338" t="s">
        <v>417</v>
      </c>
      <c r="O2689" s="338" t="s">
        <v>605</v>
      </c>
      <c r="P2689" s="338" t="s">
        <v>605</v>
      </c>
    </row>
    <row r="2690" spans="2:16" x14ac:dyDescent="0.25">
      <c r="B2690" s="336" t="s">
        <v>416</v>
      </c>
      <c r="C2690" s="337">
        <v>39665</v>
      </c>
      <c r="D2690" s="338" t="s">
        <v>2629</v>
      </c>
      <c r="E2690" s="336" t="s">
        <v>4489</v>
      </c>
      <c r="F2690" s="338"/>
      <c r="G2690" s="338">
        <v>28.58</v>
      </c>
      <c r="H2690" s="338" t="s">
        <v>425</v>
      </c>
      <c r="I2690" s="338" t="s">
        <v>411</v>
      </c>
      <c r="J2690" s="339">
        <v>0.112592</v>
      </c>
      <c r="K2690" s="339">
        <v>22.709900000000001</v>
      </c>
      <c r="L2690" s="339" t="s">
        <v>409</v>
      </c>
      <c r="M2690" s="339" t="s">
        <v>409</v>
      </c>
      <c r="N2690" s="338" t="s">
        <v>417</v>
      </c>
      <c r="O2690" s="338" t="s">
        <v>409</v>
      </c>
      <c r="P2690" s="338" t="s">
        <v>417</v>
      </c>
    </row>
    <row r="2691" spans="2:16" x14ac:dyDescent="0.25">
      <c r="B2691" s="336" t="s">
        <v>416</v>
      </c>
      <c r="C2691" s="337">
        <v>39665</v>
      </c>
      <c r="D2691" s="338" t="s">
        <v>4488</v>
      </c>
      <c r="E2691" s="336" t="s">
        <v>4487</v>
      </c>
      <c r="F2691" s="338"/>
      <c r="G2691" s="338" t="s">
        <v>413</v>
      </c>
      <c r="H2691" s="338" t="s">
        <v>412</v>
      </c>
      <c r="I2691" s="338" t="s">
        <v>411</v>
      </c>
      <c r="J2691" s="339"/>
      <c r="K2691" s="339"/>
      <c r="L2691" s="339" t="s">
        <v>409</v>
      </c>
      <c r="M2691" s="339" t="s">
        <v>409</v>
      </c>
      <c r="N2691" s="338" t="s">
        <v>417</v>
      </c>
      <c r="O2691" s="338" t="s">
        <v>409</v>
      </c>
      <c r="P2691" s="338" t="s">
        <v>410</v>
      </c>
    </row>
    <row r="2692" spans="2:16" x14ac:dyDescent="0.25">
      <c r="B2692" s="336" t="s">
        <v>416</v>
      </c>
      <c r="C2692" s="337">
        <v>39665</v>
      </c>
      <c r="D2692" s="338" t="s">
        <v>551</v>
      </c>
      <c r="E2692" s="336" t="s">
        <v>3375</v>
      </c>
      <c r="F2692" s="338" t="s">
        <v>4486</v>
      </c>
      <c r="G2692" s="338">
        <v>1200</v>
      </c>
      <c r="H2692" s="338" t="s">
        <v>425</v>
      </c>
      <c r="I2692" s="338" t="s">
        <v>411</v>
      </c>
      <c r="J2692" s="339"/>
      <c r="K2692" s="339"/>
      <c r="L2692" s="339"/>
      <c r="M2692" s="339"/>
      <c r="N2692" s="338" t="s">
        <v>417</v>
      </c>
      <c r="O2692" s="338" t="s">
        <v>432</v>
      </c>
      <c r="P2692" s="338" t="s">
        <v>417</v>
      </c>
    </row>
    <row r="2693" spans="2:16" x14ac:dyDescent="0.25">
      <c r="B2693" s="336" t="s">
        <v>416</v>
      </c>
      <c r="C2693" s="337">
        <v>39665</v>
      </c>
      <c r="D2693" s="338" t="s">
        <v>4485</v>
      </c>
      <c r="E2693" s="336" t="s">
        <v>4484</v>
      </c>
      <c r="F2693" s="338"/>
      <c r="G2693" s="338" t="s">
        <v>413</v>
      </c>
      <c r="H2693" s="338" t="s">
        <v>412</v>
      </c>
      <c r="I2693" s="338" t="s">
        <v>411</v>
      </c>
      <c r="J2693" s="339"/>
      <c r="K2693" s="339"/>
      <c r="L2693" s="339" t="s">
        <v>409</v>
      </c>
      <c r="M2693" s="339" t="s">
        <v>409</v>
      </c>
      <c r="N2693" s="338" t="s">
        <v>417</v>
      </c>
      <c r="O2693" s="338" t="s">
        <v>409</v>
      </c>
      <c r="P2693" s="338"/>
    </row>
    <row r="2694" spans="2:16" x14ac:dyDescent="0.25">
      <c r="B2694" s="336" t="s">
        <v>416</v>
      </c>
      <c r="C2694" s="337">
        <v>39665</v>
      </c>
      <c r="D2694" s="338" t="s">
        <v>4483</v>
      </c>
      <c r="E2694" s="336" t="s">
        <v>4482</v>
      </c>
      <c r="F2694" s="338" t="s">
        <v>993</v>
      </c>
      <c r="G2694" s="338" t="s">
        <v>413</v>
      </c>
      <c r="H2694" s="338" t="s">
        <v>425</v>
      </c>
      <c r="I2694" s="338" t="s">
        <v>411</v>
      </c>
      <c r="J2694" s="339"/>
      <c r="K2694" s="339"/>
      <c r="L2694" s="339">
        <v>1.1726099999999999</v>
      </c>
      <c r="M2694" s="339"/>
      <c r="N2694" s="338"/>
      <c r="O2694" s="338" t="s">
        <v>543</v>
      </c>
      <c r="P2694" s="338" t="s">
        <v>410</v>
      </c>
    </row>
    <row r="2695" spans="2:16" x14ac:dyDescent="0.25">
      <c r="B2695" s="336" t="s">
        <v>416</v>
      </c>
      <c r="C2695" s="337">
        <v>39665</v>
      </c>
      <c r="D2695" s="338" t="s">
        <v>4481</v>
      </c>
      <c r="E2695" s="336" t="s">
        <v>4478</v>
      </c>
      <c r="F2695" s="338" t="s">
        <v>4480</v>
      </c>
      <c r="G2695" s="338" t="s">
        <v>413</v>
      </c>
      <c r="H2695" s="338" t="s">
        <v>412</v>
      </c>
      <c r="I2695" s="338" t="s">
        <v>411</v>
      </c>
      <c r="J2695" s="339"/>
      <c r="K2695" s="339"/>
      <c r="L2695" s="339"/>
      <c r="M2695" s="339"/>
      <c r="N2695" s="338" t="s">
        <v>410</v>
      </c>
      <c r="O2695" s="338" t="s">
        <v>443</v>
      </c>
      <c r="P2695" s="338" t="s">
        <v>410</v>
      </c>
    </row>
    <row r="2696" spans="2:16" x14ac:dyDescent="0.25">
      <c r="B2696" s="336" t="s">
        <v>416</v>
      </c>
      <c r="C2696" s="337">
        <v>39664</v>
      </c>
      <c r="D2696" s="338" t="s">
        <v>4479</v>
      </c>
      <c r="E2696" s="336" t="s">
        <v>4478</v>
      </c>
      <c r="F2696" s="338"/>
      <c r="G2696" s="338" t="s">
        <v>413</v>
      </c>
      <c r="H2696" s="338" t="s">
        <v>412</v>
      </c>
      <c r="I2696" s="338" t="s">
        <v>411</v>
      </c>
      <c r="J2696" s="339"/>
      <c r="K2696" s="339"/>
      <c r="L2696" s="339" t="s">
        <v>409</v>
      </c>
      <c r="M2696" s="339" t="s">
        <v>409</v>
      </c>
      <c r="N2696" s="338" t="s">
        <v>612</v>
      </c>
      <c r="O2696" s="338" t="s">
        <v>409</v>
      </c>
      <c r="P2696" s="338" t="s">
        <v>410</v>
      </c>
    </row>
    <row r="2697" spans="2:16" x14ac:dyDescent="0.25">
      <c r="B2697" s="336" t="s">
        <v>459</v>
      </c>
      <c r="C2697" s="337">
        <v>39664</v>
      </c>
      <c r="D2697" s="338" t="s">
        <v>4477</v>
      </c>
      <c r="E2697" s="336" t="s">
        <v>4476</v>
      </c>
      <c r="F2697" s="338"/>
      <c r="G2697" s="338" t="s">
        <v>413</v>
      </c>
      <c r="H2697" s="338" t="s">
        <v>425</v>
      </c>
      <c r="I2697" s="338" t="s">
        <v>411</v>
      </c>
      <c r="J2697" s="339"/>
      <c r="K2697" s="339"/>
      <c r="L2697" s="339" t="s">
        <v>409</v>
      </c>
      <c r="M2697" s="339" t="s">
        <v>409</v>
      </c>
      <c r="N2697" s="338" t="s">
        <v>417</v>
      </c>
      <c r="O2697" s="338" t="s">
        <v>409</v>
      </c>
      <c r="P2697" s="338" t="s">
        <v>443</v>
      </c>
    </row>
    <row r="2698" spans="2:16" x14ac:dyDescent="0.25">
      <c r="B2698" s="336" t="s">
        <v>416</v>
      </c>
      <c r="C2698" s="337">
        <v>39664</v>
      </c>
      <c r="D2698" s="338" t="s">
        <v>4475</v>
      </c>
      <c r="E2698" s="336" t="s">
        <v>4474</v>
      </c>
      <c r="F2698" s="338"/>
      <c r="G2698" s="338" t="s">
        <v>413</v>
      </c>
      <c r="H2698" s="338" t="s">
        <v>336</v>
      </c>
      <c r="I2698" s="338" t="s">
        <v>411</v>
      </c>
      <c r="J2698" s="339"/>
      <c r="K2698" s="339"/>
      <c r="L2698" s="339" t="s">
        <v>409</v>
      </c>
      <c r="M2698" s="339" t="s">
        <v>409</v>
      </c>
      <c r="N2698" s="338" t="s">
        <v>417</v>
      </c>
      <c r="O2698" s="338" t="s">
        <v>409</v>
      </c>
      <c r="P2698" s="338" t="s">
        <v>487</v>
      </c>
    </row>
    <row r="2699" spans="2:16" x14ac:dyDescent="0.25">
      <c r="B2699" s="336" t="s">
        <v>416</v>
      </c>
      <c r="C2699" s="337">
        <v>39660</v>
      </c>
      <c r="D2699" s="338" t="s">
        <v>4473</v>
      </c>
      <c r="E2699" s="336" t="s">
        <v>514</v>
      </c>
      <c r="F2699" s="338"/>
      <c r="G2699" s="338">
        <v>42.57</v>
      </c>
      <c r="H2699" s="338" t="s">
        <v>425</v>
      </c>
      <c r="I2699" s="338" t="s">
        <v>411</v>
      </c>
      <c r="J2699" s="339">
        <v>0.138575</v>
      </c>
      <c r="K2699" s="339">
        <v>4.8049200000000001</v>
      </c>
      <c r="L2699" s="339" t="s">
        <v>409</v>
      </c>
      <c r="M2699" s="339" t="s">
        <v>409</v>
      </c>
      <c r="N2699" s="338" t="s">
        <v>417</v>
      </c>
      <c r="O2699" s="338" t="s">
        <v>409</v>
      </c>
      <c r="P2699" s="338"/>
    </row>
    <row r="2700" spans="2:16" x14ac:dyDescent="0.25">
      <c r="B2700" s="336" t="s">
        <v>416</v>
      </c>
      <c r="C2700" s="337">
        <v>39660</v>
      </c>
      <c r="D2700" s="338" t="s">
        <v>4472</v>
      </c>
      <c r="E2700" s="336" t="s">
        <v>4471</v>
      </c>
      <c r="F2700" s="338"/>
      <c r="G2700" s="338" t="s">
        <v>413</v>
      </c>
      <c r="H2700" s="338" t="s">
        <v>780</v>
      </c>
      <c r="I2700" s="338" t="s">
        <v>411</v>
      </c>
      <c r="J2700" s="339"/>
      <c r="K2700" s="339"/>
      <c r="L2700" s="339" t="s">
        <v>409</v>
      </c>
      <c r="M2700" s="339" t="s">
        <v>409</v>
      </c>
      <c r="N2700" s="338" t="s">
        <v>417</v>
      </c>
      <c r="O2700" s="338" t="s">
        <v>409</v>
      </c>
      <c r="P2700" s="338" t="s">
        <v>432</v>
      </c>
    </row>
    <row r="2701" spans="2:16" x14ac:dyDescent="0.25">
      <c r="B2701" s="336" t="s">
        <v>416</v>
      </c>
      <c r="C2701" s="337">
        <v>39659</v>
      </c>
      <c r="D2701" s="338" t="s">
        <v>4470</v>
      </c>
      <c r="E2701" s="336" t="s">
        <v>4469</v>
      </c>
      <c r="F2701" s="338" t="s">
        <v>1879</v>
      </c>
      <c r="G2701" s="338" t="s">
        <v>413</v>
      </c>
      <c r="H2701" s="338" t="s">
        <v>412</v>
      </c>
      <c r="I2701" s="338" t="s">
        <v>411</v>
      </c>
      <c r="J2701" s="339"/>
      <c r="K2701" s="339"/>
      <c r="L2701" s="339"/>
      <c r="M2701" s="339"/>
      <c r="N2701" s="338" t="s">
        <v>410</v>
      </c>
      <c r="O2701" s="338" t="s">
        <v>443</v>
      </c>
      <c r="P2701" s="338" t="s">
        <v>417</v>
      </c>
    </row>
    <row r="2702" spans="2:16" x14ac:dyDescent="0.25">
      <c r="B2702" s="336" t="s">
        <v>459</v>
      </c>
      <c r="C2702" s="337">
        <v>39659</v>
      </c>
      <c r="D2702" s="338" t="s">
        <v>4468</v>
      </c>
      <c r="E2702" s="336" t="s">
        <v>4467</v>
      </c>
      <c r="F2702" s="338"/>
      <c r="G2702" s="338">
        <v>2.2000000000000002</v>
      </c>
      <c r="H2702" s="338" t="s">
        <v>425</v>
      </c>
      <c r="I2702" s="338" t="s">
        <v>411</v>
      </c>
      <c r="J2702" s="339"/>
      <c r="K2702" s="339"/>
      <c r="L2702" s="339" t="s">
        <v>409</v>
      </c>
      <c r="M2702" s="339" t="s">
        <v>409</v>
      </c>
      <c r="N2702" s="338" t="s">
        <v>543</v>
      </c>
      <c r="O2702" s="338" t="s">
        <v>409</v>
      </c>
      <c r="P2702" s="338" t="s">
        <v>417</v>
      </c>
    </row>
    <row r="2703" spans="2:16" x14ac:dyDescent="0.25">
      <c r="B2703" s="336" t="s">
        <v>416</v>
      </c>
      <c r="C2703" s="337">
        <v>39658</v>
      </c>
      <c r="D2703" s="338" t="s">
        <v>4466</v>
      </c>
      <c r="E2703" s="336" t="s">
        <v>4465</v>
      </c>
      <c r="F2703" s="338" t="s">
        <v>4464</v>
      </c>
      <c r="G2703" s="338">
        <v>107.68</v>
      </c>
      <c r="H2703" s="338" t="s">
        <v>425</v>
      </c>
      <c r="I2703" s="338" t="s">
        <v>411</v>
      </c>
      <c r="J2703" s="339"/>
      <c r="K2703" s="339"/>
      <c r="L2703" s="339">
        <v>1.98448</v>
      </c>
      <c r="M2703" s="339">
        <v>10.831200000000001</v>
      </c>
      <c r="N2703" s="338" t="s">
        <v>410</v>
      </c>
      <c r="O2703" s="338" t="s">
        <v>410</v>
      </c>
      <c r="P2703" s="338" t="s">
        <v>410</v>
      </c>
    </row>
    <row r="2704" spans="2:16" x14ac:dyDescent="0.25">
      <c r="B2704" s="336" t="s">
        <v>416</v>
      </c>
      <c r="C2704" s="337">
        <v>39658</v>
      </c>
      <c r="D2704" s="338" t="s">
        <v>692</v>
      </c>
      <c r="E2704" s="336" t="s">
        <v>4463</v>
      </c>
      <c r="F2704" s="338"/>
      <c r="G2704" s="338" t="s">
        <v>413</v>
      </c>
      <c r="H2704" s="338" t="s">
        <v>425</v>
      </c>
      <c r="I2704" s="338" t="s">
        <v>411</v>
      </c>
      <c r="J2704" s="339"/>
      <c r="K2704" s="339"/>
      <c r="L2704" s="339" t="s">
        <v>409</v>
      </c>
      <c r="M2704" s="339" t="s">
        <v>409</v>
      </c>
      <c r="N2704" s="338"/>
      <c r="O2704" s="338" t="s">
        <v>409</v>
      </c>
      <c r="P2704" s="338" t="s">
        <v>417</v>
      </c>
    </row>
    <row r="2705" spans="2:16" x14ac:dyDescent="0.25">
      <c r="B2705" s="336" t="s">
        <v>416</v>
      </c>
      <c r="C2705" s="337">
        <v>39657</v>
      </c>
      <c r="D2705" s="338" t="s">
        <v>4462</v>
      </c>
      <c r="E2705" s="336" t="s">
        <v>2828</v>
      </c>
      <c r="F2705" s="338" t="s">
        <v>1143</v>
      </c>
      <c r="G2705" s="338" t="s">
        <v>413</v>
      </c>
      <c r="H2705" s="338" t="s">
        <v>425</v>
      </c>
      <c r="I2705" s="338" t="s">
        <v>411</v>
      </c>
      <c r="J2705" s="339"/>
      <c r="K2705" s="339"/>
      <c r="L2705" s="339">
        <v>2.4007499999999999</v>
      </c>
      <c r="M2705" s="339">
        <v>11.4392</v>
      </c>
      <c r="N2705" s="338"/>
      <c r="O2705" s="338" t="s">
        <v>417</v>
      </c>
      <c r="P2705" s="338" t="s">
        <v>443</v>
      </c>
    </row>
    <row r="2706" spans="2:16" x14ac:dyDescent="0.25">
      <c r="B2706" s="336" t="s">
        <v>459</v>
      </c>
      <c r="C2706" s="337">
        <v>39657</v>
      </c>
      <c r="D2706" s="338" t="s">
        <v>4461</v>
      </c>
      <c r="E2706" s="336" t="s">
        <v>4460</v>
      </c>
      <c r="F2706" s="338"/>
      <c r="G2706" s="338">
        <v>0.95</v>
      </c>
      <c r="H2706" s="338" t="s">
        <v>425</v>
      </c>
      <c r="I2706" s="338" t="s">
        <v>411</v>
      </c>
      <c r="J2706" s="339"/>
      <c r="K2706" s="339"/>
      <c r="L2706" s="339" t="s">
        <v>409</v>
      </c>
      <c r="M2706" s="339" t="s">
        <v>409</v>
      </c>
      <c r="N2706" s="338" t="s">
        <v>417</v>
      </c>
      <c r="O2706" s="338" t="s">
        <v>409</v>
      </c>
      <c r="P2706" s="338" t="s">
        <v>417</v>
      </c>
    </row>
    <row r="2707" spans="2:16" x14ac:dyDescent="0.25">
      <c r="B2707" s="336" t="s">
        <v>416</v>
      </c>
      <c r="C2707" s="337">
        <v>39657</v>
      </c>
      <c r="D2707" s="338" t="s">
        <v>1606</v>
      </c>
      <c r="E2707" s="336" t="s">
        <v>4459</v>
      </c>
      <c r="F2707" s="338" t="s">
        <v>1605</v>
      </c>
      <c r="G2707" s="338" t="s">
        <v>413</v>
      </c>
      <c r="H2707" s="338" t="s">
        <v>412</v>
      </c>
      <c r="I2707" s="338" t="s">
        <v>411</v>
      </c>
      <c r="J2707" s="339"/>
      <c r="K2707" s="339"/>
      <c r="L2707" s="339">
        <v>2.75353</v>
      </c>
      <c r="M2707" s="339">
        <v>8.9119399999999995</v>
      </c>
      <c r="N2707" s="338" t="s">
        <v>417</v>
      </c>
      <c r="O2707" s="338" t="s">
        <v>417</v>
      </c>
      <c r="P2707" s="338" t="s">
        <v>417</v>
      </c>
    </row>
    <row r="2708" spans="2:16" x14ac:dyDescent="0.25">
      <c r="B2708" s="336" t="s">
        <v>416</v>
      </c>
      <c r="C2708" s="337">
        <v>39657</v>
      </c>
      <c r="D2708" s="338" t="s">
        <v>4458</v>
      </c>
      <c r="E2708" s="336" t="s">
        <v>4457</v>
      </c>
      <c r="F2708" s="338" t="s">
        <v>1712</v>
      </c>
      <c r="G2708" s="338">
        <v>5</v>
      </c>
      <c r="H2708" s="338" t="s">
        <v>425</v>
      </c>
      <c r="I2708" s="338" t="s">
        <v>411</v>
      </c>
      <c r="J2708" s="339"/>
      <c r="K2708" s="339"/>
      <c r="L2708" s="339">
        <v>0.69886999999999999</v>
      </c>
      <c r="M2708" s="339"/>
      <c r="N2708" s="338"/>
      <c r="O2708" s="338" t="s">
        <v>417</v>
      </c>
      <c r="P2708" s="338" t="s">
        <v>543</v>
      </c>
    </row>
    <row r="2709" spans="2:16" x14ac:dyDescent="0.25">
      <c r="B2709" s="336" t="s">
        <v>416</v>
      </c>
      <c r="C2709" s="337">
        <v>39654</v>
      </c>
      <c r="D2709" s="338" t="s">
        <v>4456</v>
      </c>
      <c r="E2709" s="336" t="s">
        <v>3581</v>
      </c>
      <c r="F2709" s="338"/>
      <c r="G2709" s="338" t="s">
        <v>413</v>
      </c>
      <c r="H2709" s="338" t="s">
        <v>412</v>
      </c>
      <c r="I2709" s="338" t="s">
        <v>411</v>
      </c>
      <c r="J2709" s="339"/>
      <c r="K2709" s="339"/>
      <c r="L2709" s="339" t="s">
        <v>409</v>
      </c>
      <c r="M2709" s="339" t="s">
        <v>409</v>
      </c>
      <c r="N2709" s="338" t="s">
        <v>417</v>
      </c>
      <c r="O2709" s="338" t="s">
        <v>409</v>
      </c>
      <c r="P2709" s="338"/>
    </row>
    <row r="2710" spans="2:16" x14ac:dyDescent="0.25">
      <c r="B2710" s="336" t="s">
        <v>416</v>
      </c>
      <c r="C2710" s="337">
        <v>39654</v>
      </c>
      <c r="D2710" s="338" t="s">
        <v>4455</v>
      </c>
      <c r="E2710" s="336" t="s">
        <v>4454</v>
      </c>
      <c r="F2710" s="338"/>
      <c r="G2710" s="338" t="s">
        <v>413</v>
      </c>
      <c r="H2710" s="338" t="s">
        <v>412</v>
      </c>
      <c r="I2710" s="338" t="s">
        <v>411</v>
      </c>
      <c r="J2710" s="339"/>
      <c r="K2710" s="339"/>
      <c r="L2710" s="339" t="s">
        <v>409</v>
      </c>
      <c r="M2710" s="339" t="s">
        <v>409</v>
      </c>
      <c r="N2710" s="338" t="s">
        <v>417</v>
      </c>
      <c r="O2710" s="338" t="s">
        <v>409</v>
      </c>
      <c r="P2710" s="338" t="s">
        <v>417</v>
      </c>
    </row>
    <row r="2711" spans="2:16" x14ac:dyDescent="0.25">
      <c r="B2711" s="336" t="s">
        <v>416</v>
      </c>
      <c r="C2711" s="337">
        <v>39654</v>
      </c>
      <c r="D2711" s="338" t="s">
        <v>4453</v>
      </c>
      <c r="E2711" s="336" t="s">
        <v>4452</v>
      </c>
      <c r="F2711" s="338"/>
      <c r="G2711" s="338" t="s">
        <v>413</v>
      </c>
      <c r="H2711" s="338" t="s">
        <v>336</v>
      </c>
      <c r="I2711" s="338" t="s">
        <v>411</v>
      </c>
      <c r="J2711" s="339"/>
      <c r="K2711" s="339"/>
      <c r="L2711" s="339" t="s">
        <v>409</v>
      </c>
      <c r="M2711" s="339" t="s">
        <v>409</v>
      </c>
      <c r="N2711" s="338" t="s">
        <v>410</v>
      </c>
      <c r="O2711" s="338" t="s">
        <v>409</v>
      </c>
      <c r="P2711" s="338" t="s">
        <v>410</v>
      </c>
    </row>
    <row r="2712" spans="2:16" x14ac:dyDescent="0.25">
      <c r="B2712" s="336" t="s">
        <v>459</v>
      </c>
      <c r="C2712" s="337">
        <v>39653</v>
      </c>
      <c r="D2712" s="338" t="s">
        <v>4451</v>
      </c>
      <c r="E2712" s="336" t="s">
        <v>2758</v>
      </c>
      <c r="F2712" s="338"/>
      <c r="G2712" s="338" t="s">
        <v>413</v>
      </c>
      <c r="H2712" s="338" t="s">
        <v>425</v>
      </c>
      <c r="I2712" s="338" t="s">
        <v>411</v>
      </c>
      <c r="J2712" s="339"/>
      <c r="K2712" s="339"/>
      <c r="L2712" s="339" t="s">
        <v>409</v>
      </c>
      <c r="M2712" s="339" t="s">
        <v>409</v>
      </c>
      <c r="N2712" s="338" t="s">
        <v>417</v>
      </c>
      <c r="O2712" s="338" t="s">
        <v>409</v>
      </c>
      <c r="P2712" s="338" t="s">
        <v>443</v>
      </c>
    </row>
    <row r="2713" spans="2:16" x14ac:dyDescent="0.25">
      <c r="B2713" s="336" t="s">
        <v>416</v>
      </c>
      <c r="C2713" s="337">
        <v>39653</v>
      </c>
      <c r="D2713" s="338" t="s">
        <v>4450</v>
      </c>
      <c r="E2713" s="336" t="s">
        <v>4449</v>
      </c>
      <c r="F2713" s="338" t="s">
        <v>4338</v>
      </c>
      <c r="G2713" s="338">
        <v>0.3</v>
      </c>
      <c r="H2713" s="338" t="s">
        <v>425</v>
      </c>
      <c r="I2713" s="338" t="s">
        <v>411</v>
      </c>
      <c r="J2713" s="339"/>
      <c r="K2713" s="339"/>
      <c r="L2713" s="339"/>
      <c r="M2713" s="339"/>
      <c r="N2713" s="338"/>
      <c r="O2713" s="338" t="s">
        <v>417</v>
      </c>
      <c r="P2713" s="338" t="s">
        <v>432</v>
      </c>
    </row>
    <row r="2714" spans="2:16" x14ac:dyDescent="0.25">
      <c r="B2714" s="336" t="s">
        <v>416</v>
      </c>
      <c r="C2714" s="337">
        <v>39653</v>
      </c>
      <c r="D2714" s="338" t="s">
        <v>4448</v>
      </c>
      <c r="E2714" s="336" t="s">
        <v>4447</v>
      </c>
      <c r="F2714" s="338" t="s">
        <v>4446</v>
      </c>
      <c r="G2714" s="338" t="s">
        <v>413</v>
      </c>
      <c r="H2714" s="338" t="s">
        <v>425</v>
      </c>
      <c r="I2714" s="338" t="s">
        <v>411</v>
      </c>
      <c r="J2714" s="339"/>
      <c r="K2714" s="339"/>
      <c r="L2714" s="339">
        <v>0.29475800000000002</v>
      </c>
      <c r="M2714" s="339"/>
      <c r="N2714" s="338"/>
      <c r="O2714" s="338" t="s">
        <v>417</v>
      </c>
      <c r="P2714" s="338" t="s">
        <v>443</v>
      </c>
    </row>
    <row r="2715" spans="2:16" x14ac:dyDescent="0.25">
      <c r="B2715" s="336" t="s">
        <v>416</v>
      </c>
      <c r="C2715" s="337">
        <v>39652</v>
      </c>
      <c r="D2715" s="338" t="s">
        <v>4445</v>
      </c>
      <c r="E2715" s="336" t="s">
        <v>4444</v>
      </c>
      <c r="F2715" s="338" t="s">
        <v>4443</v>
      </c>
      <c r="G2715" s="338">
        <v>100</v>
      </c>
      <c r="H2715" s="338" t="s">
        <v>425</v>
      </c>
      <c r="I2715" s="338" t="s">
        <v>411</v>
      </c>
      <c r="J2715" s="339"/>
      <c r="K2715" s="339"/>
      <c r="L2715" s="339">
        <v>6.3918600000000003</v>
      </c>
      <c r="M2715" s="339"/>
      <c r="N2715" s="338"/>
      <c r="O2715" s="338" t="s">
        <v>443</v>
      </c>
      <c r="P2715" s="338" t="s">
        <v>443</v>
      </c>
    </row>
    <row r="2716" spans="2:16" x14ac:dyDescent="0.25">
      <c r="B2716" s="336" t="s">
        <v>416</v>
      </c>
      <c r="C2716" s="337">
        <v>39652</v>
      </c>
      <c r="D2716" s="338" t="s">
        <v>4442</v>
      </c>
      <c r="E2716" s="336" t="s">
        <v>4441</v>
      </c>
      <c r="F2716" s="338"/>
      <c r="G2716" s="338" t="s">
        <v>413</v>
      </c>
      <c r="H2716" s="338" t="s">
        <v>412</v>
      </c>
      <c r="I2716" s="338" t="s">
        <v>411</v>
      </c>
      <c r="J2716" s="339"/>
      <c r="K2716" s="339"/>
      <c r="L2716" s="339" t="s">
        <v>409</v>
      </c>
      <c r="M2716" s="339" t="s">
        <v>409</v>
      </c>
      <c r="N2716" s="338" t="s">
        <v>417</v>
      </c>
      <c r="O2716" s="338" t="s">
        <v>409</v>
      </c>
      <c r="P2716" s="338" t="s">
        <v>487</v>
      </c>
    </row>
    <row r="2717" spans="2:16" x14ac:dyDescent="0.25">
      <c r="B2717" s="336" t="s">
        <v>459</v>
      </c>
      <c r="C2717" s="337">
        <v>39652</v>
      </c>
      <c r="D2717" s="338" t="s">
        <v>4440</v>
      </c>
      <c r="E2717" s="336" t="s">
        <v>4439</v>
      </c>
      <c r="F2717" s="338"/>
      <c r="G2717" s="338" t="s">
        <v>413</v>
      </c>
      <c r="H2717" s="338" t="s">
        <v>425</v>
      </c>
      <c r="I2717" s="338" t="s">
        <v>411</v>
      </c>
      <c r="J2717" s="339"/>
      <c r="K2717" s="339"/>
      <c r="L2717" s="339" t="s">
        <v>409</v>
      </c>
      <c r="M2717" s="339" t="s">
        <v>409</v>
      </c>
      <c r="N2717" s="338" t="s">
        <v>417</v>
      </c>
      <c r="O2717" s="338" t="s">
        <v>409</v>
      </c>
      <c r="P2717" s="338" t="s">
        <v>443</v>
      </c>
    </row>
    <row r="2718" spans="2:16" x14ac:dyDescent="0.25">
      <c r="B2718" s="336" t="s">
        <v>416</v>
      </c>
      <c r="C2718" s="337">
        <v>39651</v>
      </c>
      <c r="D2718" s="338" t="s">
        <v>552</v>
      </c>
      <c r="E2718" s="336" t="s">
        <v>4438</v>
      </c>
      <c r="F2718" s="338"/>
      <c r="G2718" s="338" t="s">
        <v>413</v>
      </c>
      <c r="H2718" s="338" t="s">
        <v>425</v>
      </c>
      <c r="I2718" s="338" t="s">
        <v>411</v>
      </c>
      <c r="J2718" s="339"/>
      <c r="K2718" s="339"/>
      <c r="L2718" s="339" t="s">
        <v>409</v>
      </c>
      <c r="M2718" s="339" t="s">
        <v>409</v>
      </c>
      <c r="N2718" s="338"/>
      <c r="O2718" s="338" t="s">
        <v>409</v>
      </c>
      <c r="P2718" s="338" t="s">
        <v>443</v>
      </c>
    </row>
    <row r="2719" spans="2:16" x14ac:dyDescent="0.25">
      <c r="B2719" s="336" t="s">
        <v>416</v>
      </c>
      <c r="C2719" s="337">
        <v>39651</v>
      </c>
      <c r="D2719" s="338" t="s">
        <v>4437</v>
      </c>
      <c r="E2719" s="336" t="s">
        <v>4436</v>
      </c>
      <c r="F2719" s="338" t="s">
        <v>4435</v>
      </c>
      <c r="G2719" s="338" t="s">
        <v>413</v>
      </c>
      <c r="H2719" s="338" t="s">
        <v>425</v>
      </c>
      <c r="I2719" s="338" t="s">
        <v>411</v>
      </c>
      <c r="J2719" s="339"/>
      <c r="K2719" s="339"/>
      <c r="L2719" s="339"/>
      <c r="M2719" s="339"/>
      <c r="N2719" s="338"/>
      <c r="O2719" s="338" t="s">
        <v>410</v>
      </c>
      <c r="P2719" s="338" t="s">
        <v>417</v>
      </c>
    </row>
    <row r="2720" spans="2:16" x14ac:dyDescent="0.25">
      <c r="B2720" s="336" t="s">
        <v>416</v>
      </c>
      <c r="C2720" s="337">
        <v>39650</v>
      </c>
      <c r="D2720" s="338" t="s">
        <v>4434</v>
      </c>
      <c r="E2720" s="336" t="s">
        <v>4433</v>
      </c>
      <c r="F2720" s="338"/>
      <c r="G2720" s="338" t="s">
        <v>413</v>
      </c>
      <c r="H2720" s="338" t="s">
        <v>412</v>
      </c>
      <c r="I2720" s="338" t="s">
        <v>411</v>
      </c>
      <c r="J2720" s="339"/>
      <c r="K2720" s="339"/>
      <c r="L2720" s="339" t="s">
        <v>409</v>
      </c>
      <c r="M2720" s="339" t="s">
        <v>409</v>
      </c>
      <c r="N2720" s="338" t="s">
        <v>417</v>
      </c>
      <c r="O2720" s="338" t="s">
        <v>409</v>
      </c>
      <c r="P2720" s="338" t="s">
        <v>417</v>
      </c>
    </row>
    <row r="2721" spans="2:16" x14ac:dyDescent="0.25">
      <c r="B2721" s="336" t="s">
        <v>541</v>
      </c>
      <c r="C2721" s="337">
        <v>39647</v>
      </c>
      <c r="D2721" s="338" t="s">
        <v>4432</v>
      </c>
      <c r="E2721" s="336" t="s">
        <v>539</v>
      </c>
      <c r="F2721" s="338" t="s">
        <v>4431</v>
      </c>
      <c r="G2721" s="338" t="s">
        <v>413</v>
      </c>
      <c r="H2721" s="338"/>
      <c r="I2721" s="338" t="s">
        <v>411</v>
      </c>
      <c r="J2721" s="339"/>
      <c r="K2721" s="339"/>
      <c r="L2721" s="339"/>
      <c r="M2721" s="339"/>
      <c r="N2721" s="338" t="s">
        <v>605</v>
      </c>
      <c r="O2721" s="338" t="s">
        <v>410</v>
      </c>
      <c r="P2721" s="338" t="s">
        <v>409</v>
      </c>
    </row>
    <row r="2722" spans="2:16" x14ac:dyDescent="0.25">
      <c r="B2722" s="336" t="s">
        <v>416</v>
      </c>
      <c r="C2722" s="337">
        <v>39647</v>
      </c>
      <c r="D2722" s="338" t="s">
        <v>692</v>
      </c>
      <c r="E2722" s="336" t="s">
        <v>1452</v>
      </c>
      <c r="F2722" s="338"/>
      <c r="G2722" s="338" t="s">
        <v>413</v>
      </c>
      <c r="H2722" s="338" t="s">
        <v>412</v>
      </c>
      <c r="I2722" s="338" t="s">
        <v>411</v>
      </c>
      <c r="J2722" s="339"/>
      <c r="K2722" s="339"/>
      <c r="L2722" s="339" t="s">
        <v>409</v>
      </c>
      <c r="M2722" s="339" t="s">
        <v>409</v>
      </c>
      <c r="N2722" s="338"/>
      <c r="O2722" s="338" t="s">
        <v>409</v>
      </c>
      <c r="P2722" s="338" t="s">
        <v>417</v>
      </c>
    </row>
    <row r="2723" spans="2:16" x14ac:dyDescent="0.25">
      <c r="B2723" s="336" t="s">
        <v>416</v>
      </c>
      <c r="C2723" s="337">
        <v>39646</v>
      </c>
      <c r="D2723" s="338" t="s">
        <v>4430</v>
      </c>
      <c r="E2723" s="336" t="s">
        <v>4429</v>
      </c>
      <c r="F2723" s="338" t="s">
        <v>4428</v>
      </c>
      <c r="G2723" s="338" t="s">
        <v>413</v>
      </c>
      <c r="H2723" s="338" t="s">
        <v>425</v>
      </c>
      <c r="I2723" s="338" t="s">
        <v>411</v>
      </c>
      <c r="J2723" s="339"/>
      <c r="K2723" s="339"/>
      <c r="L2723" s="339"/>
      <c r="M2723" s="339"/>
      <c r="N2723" s="338"/>
      <c r="O2723" s="338" t="s">
        <v>543</v>
      </c>
      <c r="P2723" s="338" t="s">
        <v>417</v>
      </c>
    </row>
    <row r="2724" spans="2:16" x14ac:dyDescent="0.25">
      <c r="B2724" s="336" t="s">
        <v>416</v>
      </c>
      <c r="C2724" s="337">
        <v>39645</v>
      </c>
      <c r="D2724" s="338" t="s">
        <v>3488</v>
      </c>
      <c r="E2724" s="336" t="s">
        <v>4427</v>
      </c>
      <c r="F2724" s="338" t="s">
        <v>4426</v>
      </c>
      <c r="G2724" s="338">
        <v>0.38</v>
      </c>
      <c r="H2724" s="338" t="s">
        <v>425</v>
      </c>
      <c r="I2724" s="338" t="s">
        <v>411</v>
      </c>
      <c r="J2724" s="339"/>
      <c r="K2724" s="339"/>
      <c r="L2724" s="339">
        <v>13.2461</v>
      </c>
      <c r="M2724" s="339">
        <v>19.543399999999998</v>
      </c>
      <c r="N2724" s="338"/>
      <c r="O2724" s="338" t="s">
        <v>443</v>
      </c>
      <c r="P2724" s="338" t="s">
        <v>443</v>
      </c>
    </row>
    <row r="2725" spans="2:16" x14ac:dyDescent="0.25">
      <c r="B2725" s="336" t="s">
        <v>416</v>
      </c>
      <c r="C2725" s="337">
        <v>39645</v>
      </c>
      <c r="D2725" s="338" t="s">
        <v>1975</v>
      </c>
      <c r="E2725" s="336" t="s">
        <v>1879</v>
      </c>
      <c r="F2725" s="338" t="s">
        <v>4425</v>
      </c>
      <c r="G2725" s="338" t="s">
        <v>413</v>
      </c>
      <c r="H2725" s="338" t="s">
        <v>425</v>
      </c>
      <c r="I2725" s="338" t="s">
        <v>411</v>
      </c>
      <c r="J2725" s="339">
        <v>0.21615699999999999</v>
      </c>
      <c r="K2725" s="339">
        <v>77.650999999999996</v>
      </c>
      <c r="L2725" s="339"/>
      <c r="M2725" s="339"/>
      <c r="N2725" s="338" t="s">
        <v>417</v>
      </c>
      <c r="O2725" s="338" t="s">
        <v>443</v>
      </c>
      <c r="P2725" s="338" t="s">
        <v>443</v>
      </c>
    </row>
    <row r="2726" spans="2:16" x14ac:dyDescent="0.25">
      <c r="B2726" s="336" t="s">
        <v>459</v>
      </c>
      <c r="C2726" s="337">
        <v>39645</v>
      </c>
      <c r="D2726" s="338" t="s">
        <v>4424</v>
      </c>
      <c r="E2726" s="336" t="s">
        <v>4423</v>
      </c>
      <c r="F2726" s="338"/>
      <c r="G2726" s="338">
        <v>14</v>
      </c>
      <c r="H2726" s="338" t="s">
        <v>425</v>
      </c>
      <c r="I2726" s="338" t="s">
        <v>411</v>
      </c>
      <c r="J2726" s="339"/>
      <c r="K2726" s="339"/>
      <c r="L2726" s="339" t="s">
        <v>409</v>
      </c>
      <c r="M2726" s="339" t="s">
        <v>409</v>
      </c>
      <c r="N2726" s="338" t="s">
        <v>417</v>
      </c>
      <c r="O2726" s="338" t="s">
        <v>409</v>
      </c>
      <c r="P2726" s="338"/>
    </row>
    <row r="2727" spans="2:16" x14ac:dyDescent="0.25">
      <c r="B2727" s="336" t="s">
        <v>416</v>
      </c>
      <c r="C2727" s="337">
        <v>39644</v>
      </c>
      <c r="D2727" s="338" t="s">
        <v>4422</v>
      </c>
      <c r="E2727" s="336" t="s">
        <v>1452</v>
      </c>
      <c r="F2727" s="338"/>
      <c r="G2727" s="338" t="s">
        <v>413</v>
      </c>
      <c r="H2727" s="338" t="s">
        <v>425</v>
      </c>
      <c r="I2727" s="338" t="s">
        <v>411</v>
      </c>
      <c r="J2727" s="339"/>
      <c r="K2727" s="339"/>
      <c r="L2727" s="339" t="s">
        <v>409</v>
      </c>
      <c r="M2727" s="339" t="s">
        <v>409</v>
      </c>
      <c r="N2727" s="338"/>
      <c r="O2727" s="338" t="s">
        <v>409</v>
      </c>
      <c r="P2727" s="338" t="s">
        <v>417</v>
      </c>
    </row>
    <row r="2728" spans="2:16" x14ac:dyDescent="0.25">
      <c r="B2728" s="336" t="s">
        <v>416</v>
      </c>
      <c r="C2728" s="337">
        <v>39644</v>
      </c>
      <c r="D2728" s="338" t="s">
        <v>4421</v>
      </c>
      <c r="E2728" s="336" t="s">
        <v>4420</v>
      </c>
      <c r="F2728" s="338" t="s">
        <v>889</v>
      </c>
      <c r="G2728" s="338" t="s">
        <v>413</v>
      </c>
      <c r="H2728" s="338" t="s">
        <v>425</v>
      </c>
      <c r="I2728" s="338" t="s">
        <v>411</v>
      </c>
      <c r="J2728" s="339"/>
      <c r="K2728" s="339"/>
      <c r="L2728" s="339">
        <v>2.9470299999999998</v>
      </c>
      <c r="M2728" s="339">
        <v>13.790100000000001</v>
      </c>
      <c r="N2728" s="338"/>
      <c r="O2728" s="338" t="s">
        <v>410</v>
      </c>
      <c r="P2728" s="338" t="s">
        <v>410</v>
      </c>
    </row>
    <row r="2729" spans="2:16" x14ac:dyDescent="0.25">
      <c r="B2729" s="336" t="s">
        <v>416</v>
      </c>
      <c r="C2729" s="337">
        <v>39644</v>
      </c>
      <c r="D2729" s="338" t="s">
        <v>4419</v>
      </c>
      <c r="E2729" s="336" t="s">
        <v>4418</v>
      </c>
      <c r="F2729" s="338"/>
      <c r="G2729" s="338" t="s">
        <v>413</v>
      </c>
      <c r="H2729" s="338" t="s">
        <v>412</v>
      </c>
      <c r="I2729" s="338" t="s">
        <v>411</v>
      </c>
      <c r="J2729" s="339"/>
      <c r="K2729" s="339"/>
      <c r="L2729" s="339" t="s">
        <v>409</v>
      </c>
      <c r="M2729" s="339" t="s">
        <v>409</v>
      </c>
      <c r="N2729" s="338" t="s">
        <v>417</v>
      </c>
      <c r="O2729" s="338" t="s">
        <v>409</v>
      </c>
      <c r="P2729" s="338" t="s">
        <v>417</v>
      </c>
    </row>
    <row r="2730" spans="2:16" x14ac:dyDescent="0.25">
      <c r="B2730" s="336" t="s">
        <v>416</v>
      </c>
      <c r="C2730" s="337">
        <v>39644</v>
      </c>
      <c r="D2730" s="338" t="s">
        <v>3135</v>
      </c>
      <c r="E2730" s="336" t="s">
        <v>4417</v>
      </c>
      <c r="F2730" s="338" t="s">
        <v>689</v>
      </c>
      <c r="G2730" s="338" t="s">
        <v>413</v>
      </c>
      <c r="H2730" s="338" t="s">
        <v>412</v>
      </c>
      <c r="I2730" s="338" t="s">
        <v>411</v>
      </c>
      <c r="J2730" s="339"/>
      <c r="K2730" s="339"/>
      <c r="L2730" s="339">
        <v>0.34135500000000002</v>
      </c>
      <c r="M2730" s="339"/>
      <c r="N2730" s="338" t="s">
        <v>417</v>
      </c>
      <c r="O2730" s="338" t="s">
        <v>417</v>
      </c>
      <c r="P2730" s="338" t="s">
        <v>432</v>
      </c>
    </row>
    <row r="2731" spans="2:16" x14ac:dyDescent="0.25">
      <c r="B2731" s="336" t="s">
        <v>459</v>
      </c>
      <c r="C2731" s="337">
        <v>39643</v>
      </c>
      <c r="D2731" s="338" t="s">
        <v>4416</v>
      </c>
      <c r="E2731" s="336" t="s">
        <v>4415</v>
      </c>
      <c r="F2731" s="338"/>
      <c r="G2731" s="338" t="s">
        <v>413</v>
      </c>
      <c r="H2731" s="338" t="s">
        <v>412</v>
      </c>
      <c r="I2731" s="338" t="s">
        <v>411</v>
      </c>
      <c r="J2731" s="339"/>
      <c r="K2731" s="339"/>
      <c r="L2731" s="339" t="s">
        <v>409</v>
      </c>
      <c r="M2731" s="339" t="s">
        <v>409</v>
      </c>
      <c r="N2731" s="338" t="s">
        <v>417</v>
      </c>
      <c r="O2731" s="338" t="s">
        <v>409</v>
      </c>
      <c r="P2731" s="338" t="s">
        <v>605</v>
      </c>
    </row>
    <row r="2732" spans="2:16" x14ac:dyDescent="0.25">
      <c r="B2732" s="336" t="s">
        <v>416</v>
      </c>
      <c r="C2732" s="337">
        <v>39643</v>
      </c>
      <c r="D2732" s="338" t="s">
        <v>4414</v>
      </c>
      <c r="E2732" s="336" t="s">
        <v>4413</v>
      </c>
      <c r="F2732" s="338"/>
      <c r="G2732" s="338" t="s">
        <v>413</v>
      </c>
      <c r="H2732" s="338" t="s">
        <v>412</v>
      </c>
      <c r="I2732" s="338" t="s">
        <v>411</v>
      </c>
      <c r="J2732" s="339"/>
      <c r="K2732" s="339"/>
      <c r="L2732" s="339" t="s">
        <v>409</v>
      </c>
      <c r="M2732" s="339" t="s">
        <v>409</v>
      </c>
      <c r="N2732" s="338" t="s">
        <v>432</v>
      </c>
      <c r="O2732" s="338" t="s">
        <v>409</v>
      </c>
      <c r="P2732" s="338" t="s">
        <v>417</v>
      </c>
    </row>
    <row r="2733" spans="2:16" x14ac:dyDescent="0.25">
      <c r="B2733" s="336" t="s">
        <v>416</v>
      </c>
      <c r="C2733" s="337">
        <v>39643</v>
      </c>
      <c r="D2733" s="338" t="s">
        <v>4412</v>
      </c>
      <c r="E2733" s="336" t="s">
        <v>4024</v>
      </c>
      <c r="F2733" s="338"/>
      <c r="G2733" s="338" t="s">
        <v>413</v>
      </c>
      <c r="H2733" s="338" t="s">
        <v>425</v>
      </c>
      <c r="I2733" s="338" t="s">
        <v>411</v>
      </c>
      <c r="J2733" s="339"/>
      <c r="K2733" s="339"/>
      <c r="L2733" s="339" t="s">
        <v>409</v>
      </c>
      <c r="M2733" s="339" t="s">
        <v>409</v>
      </c>
      <c r="N2733" s="338" t="s">
        <v>417</v>
      </c>
      <c r="O2733" s="338" t="s">
        <v>409</v>
      </c>
      <c r="P2733" s="338" t="s">
        <v>443</v>
      </c>
    </row>
    <row r="2734" spans="2:16" x14ac:dyDescent="0.25">
      <c r="B2734" s="336" t="s">
        <v>416</v>
      </c>
      <c r="C2734" s="337">
        <v>39640</v>
      </c>
      <c r="D2734" s="338" t="s">
        <v>4411</v>
      </c>
      <c r="E2734" s="336" t="s">
        <v>4397</v>
      </c>
      <c r="F2734" s="338" t="s">
        <v>4410</v>
      </c>
      <c r="G2734" s="338">
        <v>24.5</v>
      </c>
      <c r="H2734" s="338" t="s">
        <v>425</v>
      </c>
      <c r="I2734" s="338" t="s">
        <v>411</v>
      </c>
      <c r="J2734" s="339"/>
      <c r="K2734" s="339"/>
      <c r="L2734" s="339">
        <v>0.35139799999999999</v>
      </c>
      <c r="M2734" s="339"/>
      <c r="N2734" s="338"/>
      <c r="O2734" s="338" t="s">
        <v>487</v>
      </c>
      <c r="P2734" s="338" t="s">
        <v>443</v>
      </c>
    </row>
    <row r="2735" spans="2:16" x14ac:dyDescent="0.25">
      <c r="B2735" s="336" t="s">
        <v>416</v>
      </c>
      <c r="C2735" s="337">
        <v>39640</v>
      </c>
      <c r="D2735" s="338" t="s">
        <v>4409</v>
      </c>
      <c r="E2735" s="336" t="s">
        <v>4408</v>
      </c>
      <c r="F2735" s="338"/>
      <c r="G2735" s="338" t="s">
        <v>413</v>
      </c>
      <c r="H2735" s="338" t="s">
        <v>412</v>
      </c>
      <c r="I2735" s="338" t="s">
        <v>411</v>
      </c>
      <c r="J2735" s="339"/>
      <c r="K2735" s="339"/>
      <c r="L2735" s="339" t="s">
        <v>409</v>
      </c>
      <c r="M2735" s="339" t="s">
        <v>409</v>
      </c>
      <c r="N2735" s="338" t="s">
        <v>417</v>
      </c>
      <c r="O2735" s="338" t="s">
        <v>409</v>
      </c>
      <c r="P2735" s="338" t="s">
        <v>417</v>
      </c>
    </row>
    <row r="2736" spans="2:16" x14ac:dyDescent="0.25">
      <c r="B2736" s="336" t="s">
        <v>416</v>
      </c>
      <c r="C2736" s="337">
        <v>39640</v>
      </c>
      <c r="D2736" s="338" t="s">
        <v>4407</v>
      </c>
      <c r="E2736" s="336" t="s">
        <v>3916</v>
      </c>
      <c r="F2736" s="338"/>
      <c r="G2736" s="338" t="s">
        <v>413</v>
      </c>
      <c r="H2736" s="338" t="s">
        <v>336</v>
      </c>
      <c r="I2736" s="338" t="s">
        <v>411</v>
      </c>
      <c r="J2736" s="339"/>
      <c r="K2736" s="339"/>
      <c r="L2736" s="339" t="s">
        <v>409</v>
      </c>
      <c r="M2736" s="339" t="s">
        <v>409</v>
      </c>
      <c r="N2736" s="338" t="s">
        <v>417</v>
      </c>
      <c r="O2736" s="338" t="s">
        <v>409</v>
      </c>
      <c r="P2736" s="338" t="s">
        <v>443</v>
      </c>
    </row>
    <row r="2737" spans="2:16" x14ac:dyDescent="0.25">
      <c r="B2737" s="336" t="s">
        <v>416</v>
      </c>
      <c r="C2737" s="337">
        <v>39640</v>
      </c>
      <c r="D2737" s="338" t="s">
        <v>4406</v>
      </c>
      <c r="E2737" s="336" t="s">
        <v>3901</v>
      </c>
      <c r="F2737" s="338" t="s">
        <v>4405</v>
      </c>
      <c r="G2737" s="338">
        <v>0.43</v>
      </c>
      <c r="H2737" s="338" t="s">
        <v>425</v>
      </c>
      <c r="I2737" s="338" t="s">
        <v>411</v>
      </c>
      <c r="J2737" s="339"/>
      <c r="K2737" s="339"/>
      <c r="L2737" s="339"/>
      <c r="M2737" s="339"/>
      <c r="N2737" s="338" t="s">
        <v>417</v>
      </c>
      <c r="O2737" s="338" t="s">
        <v>417</v>
      </c>
      <c r="P2737" s="338" t="s">
        <v>417</v>
      </c>
    </row>
    <row r="2738" spans="2:16" x14ac:dyDescent="0.25">
      <c r="B2738" s="336" t="s">
        <v>416</v>
      </c>
      <c r="C2738" s="337">
        <v>39638</v>
      </c>
      <c r="D2738" s="338" t="s">
        <v>4404</v>
      </c>
      <c r="E2738" s="336" t="s">
        <v>669</v>
      </c>
      <c r="F2738" s="338" t="s">
        <v>4108</v>
      </c>
      <c r="G2738" s="338" t="s">
        <v>413</v>
      </c>
      <c r="H2738" s="338" t="s">
        <v>412</v>
      </c>
      <c r="I2738" s="338" t="s">
        <v>411</v>
      </c>
      <c r="J2738" s="339"/>
      <c r="K2738" s="339"/>
      <c r="L2738" s="339">
        <v>8.7330599999999994E-2</v>
      </c>
      <c r="M2738" s="339">
        <v>554.82000000000005</v>
      </c>
      <c r="N2738" s="338" t="s">
        <v>410</v>
      </c>
      <c r="O2738" s="338" t="s">
        <v>417</v>
      </c>
      <c r="P2738" s="338"/>
    </row>
    <row r="2739" spans="2:16" x14ac:dyDescent="0.25">
      <c r="B2739" s="336" t="s">
        <v>416</v>
      </c>
      <c r="C2739" s="337">
        <v>39638</v>
      </c>
      <c r="D2739" s="338" t="s">
        <v>4403</v>
      </c>
      <c r="E2739" s="336" t="s">
        <v>3662</v>
      </c>
      <c r="F2739" s="338"/>
      <c r="G2739" s="338" t="s">
        <v>413</v>
      </c>
      <c r="H2739" s="338" t="s">
        <v>425</v>
      </c>
      <c r="I2739" s="338" t="s">
        <v>411</v>
      </c>
      <c r="J2739" s="339"/>
      <c r="K2739" s="339"/>
      <c r="L2739" s="339" t="s">
        <v>409</v>
      </c>
      <c r="M2739" s="339" t="s">
        <v>409</v>
      </c>
      <c r="N2739" s="338"/>
      <c r="O2739" s="338" t="s">
        <v>409</v>
      </c>
      <c r="P2739" s="338" t="s">
        <v>417</v>
      </c>
    </row>
    <row r="2740" spans="2:16" x14ac:dyDescent="0.25">
      <c r="B2740" s="336" t="s">
        <v>416</v>
      </c>
      <c r="C2740" s="337">
        <v>39637</v>
      </c>
      <c r="D2740" s="338" t="s">
        <v>4402</v>
      </c>
      <c r="E2740" s="336" t="s">
        <v>4401</v>
      </c>
      <c r="F2740" s="338" t="s">
        <v>4400</v>
      </c>
      <c r="G2740" s="338">
        <v>22.3</v>
      </c>
      <c r="H2740" s="338" t="s">
        <v>425</v>
      </c>
      <c r="I2740" s="338" t="s">
        <v>411</v>
      </c>
      <c r="J2740" s="339"/>
      <c r="K2740" s="339"/>
      <c r="L2740" s="339">
        <v>0.14658399999999999</v>
      </c>
      <c r="M2740" s="339"/>
      <c r="N2740" s="338"/>
      <c r="O2740" s="338" t="s">
        <v>417</v>
      </c>
      <c r="P2740" s="338" t="s">
        <v>417</v>
      </c>
    </row>
    <row r="2741" spans="2:16" x14ac:dyDescent="0.25">
      <c r="B2741" s="336" t="s">
        <v>416</v>
      </c>
      <c r="C2741" s="337">
        <v>39636</v>
      </c>
      <c r="D2741" s="338" t="s">
        <v>4399</v>
      </c>
      <c r="E2741" s="336" t="s">
        <v>3261</v>
      </c>
      <c r="F2741" s="338"/>
      <c r="G2741" s="338" t="s">
        <v>413</v>
      </c>
      <c r="H2741" s="338" t="s">
        <v>412</v>
      </c>
      <c r="I2741" s="338" t="s">
        <v>411</v>
      </c>
      <c r="J2741" s="339"/>
      <c r="K2741" s="339"/>
      <c r="L2741" s="339" t="s">
        <v>409</v>
      </c>
      <c r="M2741" s="339" t="s">
        <v>409</v>
      </c>
      <c r="N2741" s="338" t="s">
        <v>410</v>
      </c>
      <c r="O2741" s="338" t="s">
        <v>409</v>
      </c>
      <c r="P2741" s="338" t="s">
        <v>410</v>
      </c>
    </row>
    <row r="2742" spans="2:16" x14ac:dyDescent="0.25">
      <c r="B2742" s="336" t="s">
        <v>416</v>
      </c>
      <c r="C2742" s="337">
        <v>39631</v>
      </c>
      <c r="D2742" s="338" t="s">
        <v>4398</v>
      </c>
      <c r="E2742" s="336" t="s">
        <v>4397</v>
      </c>
      <c r="F2742" s="338" t="s">
        <v>2976</v>
      </c>
      <c r="G2742" s="338" t="s">
        <v>413</v>
      </c>
      <c r="H2742" s="338" t="s">
        <v>425</v>
      </c>
      <c r="I2742" s="338" t="s">
        <v>411</v>
      </c>
      <c r="J2742" s="339"/>
      <c r="K2742" s="339"/>
      <c r="L2742" s="339"/>
      <c r="M2742" s="339"/>
      <c r="N2742" s="338"/>
      <c r="O2742" s="338" t="s">
        <v>417</v>
      </c>
      <c r="P2742" s="338" t="s">
        <v>443</v>
      </c>
    </row>
    <row r="2743" spans="2:16" x14ac:dyDescent="0.25">
      <c r="B2743" s="336" t="s">
        <v>416</v>
      </c>
      <c r="C2743" s="337">
        <v>39630</v>
      </c>
      <c r="D2743" s="338" t="s">
        <v>4396</v>
      </c>
      <c r="E2743" s="336" t="s">
        <v>905</v>
      </c>
      <c r="F2743" s="338"/>
      <c r="G2743" s="338" t="s">
        <v>413</v>
      </c>
      <c r="H2743" s="338" t="s">
        <v>412</v>
      </c>
      <c r="I2743" s="338" t="s">
        <v>411</v>
      </c>
      <c r="J2743" s="339"/>
      <c r="K2743" s="339"/>
      <c r="L2743" s="339" t="s">
        <v>409</v>
      </c>
      <c r="M2743" s="339" t="s">
        <v>409</v>
      </c>
      <c r="N2743" s="338" t="s">
        <v>417</v>
      </c>
      <c r="O2743" s="338" t="s">
        <v>409</v>
      </c>
      <c r="P2743" s="338" t="s">
        <v>417</v>
      </c>
    </row>
    <row r="2744" spans="2:16" x14ac:dyDescent="0.25">
      <c r="B2744" s="336" t="s">
        <v>416</v>
      </c>
      <c r="C2744" s="337">
        <v>39630</v>
      </c>
      <c r="D2744" s="338" t="s">
        <v>4395</v>
      </c>
      <c r="E2744" s="336" t="s">
        <v>4394</v>
      </c>
      <c r="F2744" s="338"/>
      <c r="G2744" s="338">
        <v>5.47</v>
      </c>
      <c r="H2744" s="338" t="s">
        <v>336</v>
      </c>
      <c r="I2744" s="338" t="s">
        <v>411</v>
      </c>
      <c r="J2744" s="339"/>
      <c r="K2744" s="339"/>
      <c r="L2744" s="339" t="s">
        <v>409</v>
      </c>
      <c r="M2744" s="339" t="s">
        <v>409</v>
      </c>
      <c r="N2744" s="338" t="s">
        <v>432</v>
      </c>
      <c r="O2744" s="338" t="s">
        <v>409</v>
      </c>
      <c r="P2744" s="338" t="s">
        <v>432</v>
      </c>
    </row>
    <row r="2745" spans="2:16" x14ac:dyDescent="0.25">
      <c r="B2745" s="336" t="s">
        <v>459</v>
      </c>
      <c r="C2745" s="337">
        <v>39630</v>
      </c>
      <c r="D2745" s="338" t="s">
        <v>4393</v>
      </c>
      <c r="E2745" s="336" t="s">
        <v>905</v>
      </c>
      <c r="F2745" s="338" t="s">
        <v>842</v>
      </c>
      <c r="G2745" s="338">
        <v>219</v>
      </c>
      <c r="H2745" s="338" t="s">
        <v>425</v>
      </c>
      <c r="I2745" s="338" t="s">
        <v>411</v>
      </c>
      <c r="J2745" s="339"/>
      <c r="K2745" s="339"/>
      <c r="L2745" s="339">
        <v>2.00787</v>
      </c>
      <c r="M2745" s="339">
        <v>12.1244</v>
      </c>
      <c r="N2745" s="338" t="s">
        <v>487</v>
      </c>
      <c r="O2745" s="338" t="s">
        <v>487</v>
      </c>
      <c r="P2745" s="338" t="s">
        <v>417</v>
      </c>
    </row>
    <row r="2746" spans="2:16" x14ac:dyDescent="0.25">
      <c r="B2746" s="336" t="s">
        <v>416</v>
      </c>
      <c r="C2746" s="337">
        <v>39629</v>
      </c>
      <c r="D2746" s="338" t="s">
        <v>4392</v>
      </c>
      <c r="E2746" s="336" t="s">
        <v>4391</v>
      </c>
      <c r="F2746" s="338"/>
      <c r="G2746" s="338" t="s">
        <v>413</v>
      </c>
      <c r="H2746" s="338" t="s">
        <v>412</v>
      </c>
      <c r="I2746" s="338" t="s">
        <v>411</v>
      </c>
      <c r="J2746" s="339"/>
      <c r="K2746" s="339"/>
      <c r="L2746" s="339" t="s">
        <v>409</v>
      </c>
      <c r="M2746" s="339" t="s">
        <v>409</v>
      </c>
      <c r="N2746" s="338" t="s">
        <v>410</v>
      </c>
      <c r="O2746" s="338" t="s">
        <v>409</v>
      </c>
      <c r="P2746" s="338" t="s">
        <v>605</v>
      </c>
    </row>
    <row r="2747" spans="2:16" x14ac:dyDescent="0.25">
      <c r="B2747" s="336" t="s">
        <v>459</v>
      </c>
      <c r="C2747" s="337">
        <v>39629</v>
      </c>
      <c r="D2747" s="338" t="s">
        <v>4390</v>
      </c>
      <c r="E2747" s="336" t="s">
        <v>4389</v>
      </c>
      <c r="F2747" s="338"/>
      <c r="G2747" s="338" t="s">
        <v>413</v>
      </c>
      <c r="H2747" s="338" t="s">
        <v>425</v>
      </c>
      <c r="I2747" s="338" t="s">
        <v>411</v>
      </c>
      <c r="J2747" s="339"/>
      <c r="K2747" s="339"/>
      <c r="L2747" s="339" t="s">
        <v>409</v>
      </c>
      <c r="M2747" s="339" t="s">
        <v>409</v>
      </c>
      <c r="N2747" s="338" t="s">
        <v>417</v>
      </c>
      <c r="O2747" s="338" t="s">
        <v>409</v>
      </c>
      <c r="P2747" s="338" t="s">
        <v>443</v>
      </c>
    </row>
    <row r="2748" spans="2:16" x14ac:dyDescent="0.25">
      <c r="B2748" s="336" t="s">
        <v>416</v>
      </c>
      <c r="C2748" s="337">
        <v>39625</v>
      </c>
      <c r="D2748" s="338" t="s">
        <v>4388</v>
      </c>
      <c r="E2748" s="336" t="s">
        <v>4387</v>
      </c>
      <c r="F2748" s="338"/>
      <c r="G2748" s="338" t="s">
        <v>413</v>
      </c>
      <c r="H2748" s="338" t="s">
        <v>412</v>
      </c>
      <c r="I2748" s="338" t="s">
        <v>411</v>
      </c>
      <c r="J2748" s="339"/>
      <c r="K2748" s="339"/>
      <c r="L2748" s="339" t="s">
        <v>409</v>
      </c>
      <c r="M2748" s="339" t="s">
        <v>409</v>
      </c>
      <c r="N2748" s="338" t="s">
        <v>487</v>
      </c>
      <c r="O2748" s="338" t="s">
        <v>409</v>
      </c>
      <c r="P2748" s="338" t="s">
        <v>487</v>
      </c>
    </row>
    <row r="2749" spans="2:16" x14ac:dyDescent="0.25">
      <c r="B2749" s="336" t="s">
        <v>416</v>
      </c>
      <c r="C2749" s="337">
        <v>39625</v>
      </c>
      <c r="D2749" s="338" t="s">
        <v>3153</v>
      </c>
      <c r="E2749" s="336" t="s">
        <v>4386</v>
      </c>
      <c r="F2749" s="338"/>
      <c r="G2749" s="338">
        <v>1.69</v>
      </c>
      <c r="H2749" s="338" t="s">
        <v>425</v>
      </c>
      <c r="I2749" s="338" t="s">
        <v>411</v>
      </c>
      <c r="J2749" s="339"/>
      <c r="K2749" s="339"/>
      <c r="L2749" s="339" t="s">
        <v>409</v>
      </c>
      <c r="M2749" s="339" t="s">
        <v>409</v>
      </c>
      <c r="N2749" s="338" t="s">
        <v>417</v>
      </c>
      <c r="O2749" s="338" t="s">
        <v>409</v>
      </c>
      <c r="P2749" s="338" t="s">
        <v>543</v>
      </c>
    </row>
    <row r="2750" spans="2:16" x14ac:dyDescent="0.25">
      <c r="B2750" s="336" t="s">
        <v>416</v>
      </c>
      <c r="C2750" s="337">
        <v>39625</v>
      </c>
      <c r="D2750" s="338" t="s">
        <v>4385</v>
      </c>
      <c r="E2750" s="336" t="s">
        <v>577</v>
      </c>
      <c r="F2750" s="338"/>
      <c r="G2750" s="338">
        <v>16.43</v>
      </c>
      <c r="H2750" s="338" t="s">
        <v>425</v>
      </c>
      <c r="I2750" s="338" t="s">
        <v>411</v>
      </c>
      <c r="J2750" s="339">
        <v>0.117421</v>
      </c>
      <c r="K2750" s="339"/>
      <c r="L2750" s="339" t="s">
        <v>409</v>
      </c>
      <c r="M2750" s="339" t="s">
        <v>409</v>
      </c>
      <c r="N2750" s="338" t="s">
        <v>417</v>
      </c>
      <c r="O2750" s="338" t="s">
        <v>409</v>
      </c>
      <c r="P2750" s="338" t="s">
        <v>432</v>
      </c>
    </row>
    <row r="2751" spans="2:16" x14ac:dyDescent="0.25">
      <c r="B2751" s="336" t="s">
        <v>459</v>
      </c>
      <c r="C2751" s="337">
        <v>39625</v>
      </c>
      <c r="D2751" s="338" t="s">
        <v>4384</v>
      </c>
      <c r="E2751" s="336" t="s">
        <v>4383</v>
      </c>
      <c r="F2751" s="338"/>
      <c r="G2751" s="338">
        <v>0.75</v>
      </c>
      <c r="H2751" s="338" t="s">
        <v>425</v>
      </c>
      <c r="I2751" s="338" t="s">
        <v>411</v>
      </c>
      <c r="J2751" s="339"/>
      <c r="K2751" s="339"/>
      <c r="L2751" s="339" t="s">
        <v>409</v>
      </c>
      <c r="M2751" s="339" t="s">
        <v>409</v>
      </c>
      <c r="N2751" s="338" t="s">
        <v>417</v>
      </c>
      <c r="O2751" s="338" t="s">
        <v>409</v>
      </c>
      <c r="P2751" s="338"/>
    </row>
    <row r="2752" spans="2:16" x14ac:dyDescent="0.25">
      <c r="B2752" s="336" t="s">
        <v>416</v>
      </c>
      <c r="C2752" s="337">
        <v>39625</v>
      </c>
      <c r="D2752" s="338" t="s">
        <v>4382</v>
      </c>
      <c r="E2752" s="336" t="s">
        <v>4381</v>
      </c>
      <c r="F2752" s="338" t="s">
        <v>483</v>
      </c>
      <c r="G2752" s="338" t="s">
        <v>413</v>
      </c>
      <c r="H2752" s="338" t="s">
        <v>425</v>
      </c>
      <c r="I2752" s="338" t="s">
        <v>411</v>
      </c>
      <c r="J2752" s="339"/>
      <c r="K2752" s="339"/>
      <c r="L2752" s="339">
        <v>0.65454500000000004</v>
      </c>
      <c r="M2752" s="339"/>
      <c r="N2752" s="338"/>
      <c r="O2752" s="338" t="s">
        <v>417</v>
      </c>
      <c r="P2752" s="338" t="s">
        <v>487</v>
      </c>
    </row>
    <row r="2753" spans="2:16" x14ac:dyDescent="0.25">
      <c r="B2753" s="336" t="s">
        <v>416</v>
      </c>
      <c r="C2753" s="337">
        <v>39624</v>
      </c>
      <c r="D2753" s="338" t="s">
        <v>4380</v>
      </c>
      <c r="E2753" s="336" t="s">
        <v>4379</v>
      </c>
      <c r="F2753" s="338"/>
      <c r="G2753" s="338">
        <v>12.82</v>
      </c>
      <c r="H2753" s="338" t="s">
        <v>336</v>
      </c>
      <c r="I2753" s="338" t="s">
        <v>411</v>
      </c>
      <c r="J2753" s="339"/>
      <c r="K2753" s="339"/>
      <c r="L2753" s="339" t="s">
        <v>409</v>
      </c>
      <c r="M2753" s="339" t="s">
        <v>409</v>
      </c>
      <c r="N2753" s="338" t="s">
        <v>410</v>
      </c>
      <c r="O2753" s="338" t="s">
        <v>409</v>
      </c>
      <c r="P2753" s="338" t="s">
        <v>543</v>
      </c>
    </row>
    <row r="2754" spans="2:16" x14ac:dyDescent="0.25">
      <c r="B2754" s="336" t="s">
        <v>416</v>
      </c>
      <c r="C2754" s="337">
        <v>39624</v>
      </c>
      <c r="D2754" s="338" t="s">
        <v>4378</v>
      </c>
      <c r="E2754" s="336" t="s">
        <v>4377</v>
      </c>
      <c r="F2754" s="338" t="s">
        <v>434</v>
      </c>
      <c r="G2754" s="338" t="s">
        <v>413</v>
      </c>
      <c r="H2754" s="338" t="s">
        <v>425</v>
      </c>
      <c r="I2754" s="338" t="s">
        <v>411</v>
      </c>
      <c r="J2754" s="339"/>
      <c r="K2754" s="339"/>
      <c r="L2754" s="339"/>
      <c r="M2754" s="339"/>
      <c r="N2754" s="338"/>
      <c r="O2754" s="338" t="s">
        <v>417</v>
      </c>
      <c r="P2754" s="338" t="s">
        <v>487</v>
      </c>
    </row>
    <row r="2755" spans="2:16" x14ac:dyDescent="0.25">
      <c r="B2755" s="336" t="s">
        <v>416</v>
      </c>
      <c r="C2755" s="337">
        <v>39622</v>
      </c>
      <c r="D2755" s="338" t="s">
        <v>3488</v>
      </c>
      <c r="E2755" s="336" t="s">
        <v>485</v>
      </c>
      <c r="F2755" s="338" t="s">
        <v>4376</v>
      </c>
      <c r="G2755" s="338">
        <v>6</v>
      </c>
      <c r="H2755" s="338" t="s">
        <v>418</v>
      </c>
      <c r="I2755" s="338" t="s">
        <v>411</v>
      </c>
      <c r="J2755" s="339"/>
      <c r="K2755" s="339"/>
      <c r="L2755" s="339"/>
      <c r="M2755" s="339"/>
      <c r="N2755" s="338"/>
      <c r="O2755" s="338" t="s">
        <v>443</v>
      </c>
      <c r="P2755" s="338" t="s">
        <v>417</v>
      </c>
    </row>
    <row r="2756" spans="2:16" x14ac:dyDescent="0.25">
      <c r="B2756" s="336" t="s">
        <v>416</v>
      </c>
      <c r="C2756" s="337">
        <v>39622</v>
      </c>
      <c r="D2756" s="338" t="s">
        <v>956</v>
      </c>
      <c r="E2756" s="336" t="s">
        <v>485</v>
      </c>
      <c r="F2756" s="338" t="s">
        <v>4375</v>
      </c>
      <c r="G2756" s="338">
        <v>1.5</v>
      </c>
      <c r="H2756" s="338" t="s">
        <v>425</v>
      </c>
      <c r="I2756" s="338" t="s">
        <v>411</v>
      </c>
      <c r="J2756" s="339"/>
      <c r="K2756" s="339"/>
      <c r="L2756" s="339"/>
      <c r="M2756" s="339"/>
      <c r="N2756" s="338"/>
      <c r="O2756" s="338" t="s">
        <v>417</v>
      </c>
      <c r="P2756" s="338" t="s">
        <v>417</v>
      </c>
    </row>
    <row r="2757" spans="2:16" x14ac:dyDescent="0.25">
      <c r="B2757" s="336" t="s">
        <v>416</v>
      </c>
      <c r="C2757" s="337">
        <v>39619</v>
      </c>
      <c r="D2757" s="338" t="s">
        <v>3206</v>
      </c>
      <c r="E2757" s="336" t="s">
        <v>4374</v>
      </c>
      <c r="F2757" s="338"/>
      <c r="G2757" s="338">
        <v>72.959999999999994</v>
      </c>
      <c r="H2757" s="338" t="s">
        <v>425</v>
      </c>
      <c r="I2757" s="338" t="s">
        <v>411</v>
      </c>
      <c r="J2757" s="339"/>
      <c r="K2757" s="339"/>
      <c r="L2757" s="339" t="s">
        <v>409</v>
      </c>
      <c r="M2757" s="339" t="s">
        <v>409</v>
      </c>
      <c r="N2757" s="338" t="s">
        <v>417</v>
      </c>
      <c r="O2757" s="338" t="s">
        <v>409</v>
      </c>
      <c r="P2757" s="338" t="s">
        <v>432</v>
      </c>
    </row>
    <row r="2758" spans="2:16" x14ac:dyDescent="0.25">
      <c r="B2758" s="336" t="s">
        <v>416</v>
      </c>
      <c r="C2758" s="337">
        <v>39619</v>
      </c>
      <c r="D2758" s="338" t="s">
        <v>4373</v>
      </c>
      <c r="E2758" s="336" t="s">
        <v>2265</v>
      </c>
      <c r="F2758" s="338" t="s">
        <v>4372</v>
      </c>
      <c r="G2758" s="338">
        <v>5</v>
      </c>
      <c r="H2758" s="338" t="s">
        <v>425</v>
      </c>
      <c r="I2758" s="338" t="s">
        <v>411</v>
      </c>
      <c r="J2758" s="339"/>
      <c r="K2758" s="339"/>
      <c r="L2758" s="339"/>
      <c r="M2758" s="339"/>
      <c r="N2758" s="338"/>
      <c r="O2758" s="338" t="s">
        <v>417</v>
      </c>
      <c r="P2758" s="338" t="s">
        <v>417</v>
      </c>
    </row>
    <row r="2759" spans="2:16" x14ac:dyDescent="0.25">
      <c r="B2759" s="336" t="s">
        <v>416</v>
      </c>
      <c r="C2759" s="337">
        <v>39618</v>
      </c>
      <c r="D2759" s="338" t="s">
        <v>4371</v>
      </c>
      <c r="E2759" s="336" t="s">
        <v>4370</v>
      </c>
      <c r="F2759" s="338"/>
      <c r="G2759" s="338">
        <v>9.75</v>
      </c>
      <c r="H2759" s="338" t="s">
        <v>336</v>
      </c>
      <c r="I2759" s="338" t="s">
        <v>411</v>
      </c>
      <c r="J2759" s="339"/>
      <c r="K2759" s="339"/>
      <c r="L2759" s="339" t="s">
        <v>409</v>
      </c>
      <c r="M2759" s="339" t="s">
        <v>409</v>
      </c>
      <c r="N2759" s="338" t="s">
        <v>417</v>
      </c>
      <c r="O2759" s="338" t="s">
        <v>409</v>
      </c>
      <c r="P2759" s="338" t="s">
        <v>487</v>
      </c>
    </row>
    <row r="2760" spans="2:16" x14ac:dyDescent="0.25">
      <c r="B2760" s="336" t="s">
        <v>416</v>
      </c>
      <c r="C2760" s="337">
        <v>39618</v>
      </c>
      <c r="D2760" s="338" t="s">
        <v>4369</v>
      </c>
      <c r="E2760" s="336" t="s">
        <v>4368</v>
      </c>
      <c r="F2760" s="338" t="s">
        <v>1985</v>
      </c>
      <c r="G2760" s="338" t="s">
        <v>413</v>
      </c>
      <c r="H2760" s="338" t="s">
        <v>425</v>
      </c>
      <c r="I2760" s="338" t="s">
        <v>411</v>
      </c>
      <c r="J2760" s="339"/>
      <c r="K2760" s="339"/>
      <c r="L2760" s="339"/>
      <c r="M2760" s="339"/>
      <c r="N2760" s="338" t="s">
        <v>417</v>
      </c>
      <c r="O2760" s="338" t="s">
        <v>417</v>
      </c>
      <c r="P2760" s="338" t="s">
        <v>417</v>
      </c>
    </row>
    <row r="2761" spans="2:16" x14ac:dyDescent="0.25">
      <c r="B2761" s="336" t="s">
        <v>416</v>
      </c>
      <c r="C2761" s="337">
        <v>39617</v>
      </c>
      <c r="D2761" s="338" t="s">
        <v>4367</v>
      </c>
      <c r="E2761" s="336" t="s">
        <v>4366</v>
      </c>
      <c r="F2761" s="338"/>
      <c r="G2761" s="338" t="s">
        <v>413</v>
      </c>
      <c r="H2761" s="338" t="s">
        <v>412</v>
      </c>
      <c r="I2761" s="338" t="s">
        <v>411</v>
      </c>
      <c r="J2761" s="339"/>
      <c r="K2761" s="339"/>
      <c r="L2761" s="339" t="s">
        <v>409</v>
      </c>
      <c r="M2761" s="339" t="s">
        <v>409</v>
      </c>
      <c r="N2761" s="338" t="s">
        <v>417</v>
      </c>
      <c r="O2761" s="338" t="s">
        <v>409</v>
      </c>
      <c r="P2761" s="338" t="s">
        <v>417</v>
      </c>
    </row>
    <row r="2762" spans="2:16" x14ac:dyDescent="0.25">
      <c r="B2762" s="336" t="s">
        <v>416</v>
      </c>
      <c r="C2762" s="337">
        <v>39616</v>
      </c>
      <c r="D2762" s="338" t="s">
        <v>4365</v>
      </c>
      <c r="E2762" s="336" t="s">
        <v>4364</v>
      </c>
      <c r="F2762" s="338" t="s">
        <v>4363</v>
      </c>
      <c r="G2762" s="338">
        <v>17</v>
      </c>
      <c r="H2762" s="338" t="s">
        <v>425</v>
      </c>
      <c r="I2762" s="338" t="s">
        <v>411</v>
      </c>
      <c r="J2762" s="339"/>
      <c r="K2762" s="339"/>
      <c r="L2762" s="339"/>
      <c r="M2762" s="339"/>
      <c r="N2762" s="338" t="s">
        <v>417</v>
      </c>
      <c r="O2762" s="338" t="s">
        <v>543</v>
      </c>
      <c r="P2762" s="338" t="s">
        <v>408</v>
      </c>
    </row>
    <row r="2763" spans="2:16" x14ac:dyDescent="0.25">
      <c r="B2763" s="336" t="s">
        <v>416</v>
      </c>
      <c r="C2763" s="337">
        <v>39616</v>
      </c>
      <c r="D2763" s="338" t="s">
        <v>4362</v>
      </c>
      <c r="E2763" s="336" t="s">
        <v>761</v>
      </c>
      <c r="F2763" s="338" t="s">
        <v>4361</v>
      </c>
      <c r="G2763" s="338">
        <v>38.299999999999997</v>
      </c>
      <c r="H2763" s="338" t="s">
        <v>425</v>
      </c>
      <c r="I2763" s="338" t="s">
        <v>411</v>
      </c>
      <c r="J2763" s="339"/>
      <c r="K2763" s="339"/>
      <c r="L2763" s="339"/>
      <c r="M2763" s="339"/>
      <c r="N2763" s="338" t="s">
        <v>487</v>
      </c>
      <c r="O2763" s="338" t="s">
        <v>443</v>
      </c>
      <c r="P2763" s="338" t="s">
        <v>417</v>
      </c>
    </row>
    <row r="2764" spans="2:16" x14ac:dyDescent="0.25">
      <c r="B2764" s="336" t="s">
        <v>416</v>
      </c>
      <c r="C2764" s="337">
        <v>39616</v>
      </c>
      <c r="D2764" s="338" t="s">
        <v>4360</v>
      </c>
      <c r="E2764" s="336" t="s">
        <v>682</v>
      </c>
      <c r="F2764" s="338" t="s">
        <v>4359</v>
      </c>
      <c r="G2764" s="338" t="s">
        <v>413</v>
      </c>
      <c r="H2764" s="338" t="s">
        <v>425</v>
      </c>
      <c r="I2764" s="338" t="s">
        <v>411</v>
      </c>
      <c r="J2764" s="339"/>
      <c r="K2764" s="339"/>
      <c r="L2764" s="339"/>
      <c r="M2764" s="339"/>
      <c r="N2764" s="338"/>
      <c r="O2764" s="338" t="s">
        <v>417</v>
      </c>
      <c r="P2764" s="338" t="s">
        <v>417</v>
      </c>
    </row>
    <row r="2765" spans="2:16" x14ac:dyDescent="0.25">
      <c r="B2765" s="336" t="s">
        <v>416</v>
      </c>
      <c r="C2765" s="337">
        <v>39612</v>
      </c>
      <c r="D2765" s="338" t="s">
        <v>4358</v>
      </c>
      <c r="E2765" s="336" t="s">
        <v>1281</v>
      </c>
      <c r="F2765" s="338" t="s">
        <v>4357</v>
      </c>
      <c r="G2765" s="338" t="s">
        <v>413</v>
      </c>
      <c r="H2765" s="338" t="s">
        <v>425</v>
      </c>
      <c r="I2765" s="338" t="s">
        <v>411</v>
      </c>
      <c r="J2765" s="339"/>
      <c r="K2765" s="339"/>
      <c r="L2765" s="339"/>
      <c r="M2765" s="339"/>
      <c r="N2765" s="338"/>
      <c r="O2765" s="338" t="s">
        <v>432</v>
      </c>
      <c r="P2765" s="338" t="s">
        <v>605</v>
      </c>
    </row>
    <row r="2766" spans="2:16" x14ac:dyDescent="0.25">
      <c r="B2766" s="336" t="s">
        <v>416</v>
      </c>
      <c r="C2766" s="337">
        <v>39612</v>
      </c>
      <c r="D2766" s="338" t="s">
        <v>956</v>
      </c>
      <c r="E2766" s="336" t="s">
        <v>3553</v>
      </c>
      <c r="F2766" s="338" t="s">
        <v>4356</v>
      </c>
      <c r="G2766" s="338">
        <v>7.25</v>
      </c>
      <c r="H2766" s="338" t="s">
        <v>425</v>
      </c>
      <c r="I2766" s="338" t="s">
        <v>411</v>
      </c>
      <c r="J2766" s="339"/>
      <c r="K2766" s="339"/>
      <c r="L2766" s="339">
        <v>0.111288</v>
      </c>
      <c r="M2766" s="339"/>
      <c r="N2766" s="338"/>
      <c r="O2766" s="338" t="s">
        <v>487</v>
      </c>
      <c r="P2766" s="338" t="s">
        <v>417</v>
      </c>
    </row>
    <row r="2767" spans="2:16" x14ac:dyDescent="0.25">
      <c r="B2767" s="336" t="s">
        <v>416</v>
      </c>
      <c r="C2767" s="337">
        <v>39611</v>
      </c>
      <c r="D2767" s="338" t="s">
        <v>4355</v>
      </c>
      <c r="E2767" s="336" t="s">
        <v>4354</v>
      </c>
      <c r="F2767" s="338"/>
      <c r="G2767" s="338" t="s">
        <v>413</v>
      </c>
      <c r="H2767" s="338" t="s">
        <v>412</v>
      </c>
      <c r="I2767" s="338" t="s">
        <v>411</v>
      </c>
      <c r="J2767" s="339"/>
      <c r="K2767" s="339"/>
      <c r="L2767" s="339" t="s">
        <v>409</v>
      </c>
      <c r="M2767" s="339" t="s">
        <v>409</v>
      </c>
      <c r="N2767" s="338" t="s">
        <v>417</v>
      </c>
      <c r="O2767" s="338" t="s">
        <v>409</v>
      </c>
      <c r="P2767" s="338" t="s">
        <v>417</v>
      </c>
    </row>
    <row r="2768" spans="2:16" x14ac:dyDescent="0.25">
      <c r="B2768" s="336" t="s">
        <v>1441</v>
      </c>
      <c r="C2768" s="337">
        <v>39611</v>
      </c>
      <c r="D2768" s="338" t="s">
        <v>4353</v>
      </c>
      <c r="E2768" s="336" t="s">
        <v>644</v>
      </c>
      <c r="F2768" s="338"/>
      <c r="G2768" s="338" t="s">
        <v>413</v>
      </c>
      <c r="H2768" s="338" t="s">
        <v>412</v>
      </c>
      <c r="I2768" s="338" t="s">
        <v>411</v>
      </c>
      <c r="J2768" s="339"/>
      <c r="K2768" s="339"/>
      <c r="L2768" s="339" t="s">
        <v>409</v>
      </c>
      <c r="M2768" s="339" t="s">
        <v>409</v>
      </c>
      <c r="N2768" s="338" t="s">
        <v>443</v>
      </c>
      <c r="O2768" s="338" t="s">
        <v>409</v>
      </c>
      <c r="P2768" s="338" t="s">
        <v>417</v>
      </c>
    </row>
    <row r="2769" spans="2:16" x14ac:dyDescent="0.25">
      <c r="B2769" s="336" t="s">
        <v>416</v>
      </c>
      <c r="C2769" s="337">
        <v>39610</v>
      </c>
      <c r="D2769" s="338" t="s">
        <v>4352</v>
      </c>
      <c r="E2769" s="336" t="s">
        <v>4351</v>
      </c>
      <c r="F2769" s="338"/>
      <c r="G2769" s="338" t="s">
        <v>413</v>
      </c>
      <c r="H2769" s="338" t="s">
        <v>425</v>
      </c>
      <c r="I2769" s="338" t="s">
        <v>411</v>
      </c>
      <c r="J2769" s="339"/>
      <c r="K2769" s="339"/>
      <c r="L2769" s="339" t="s">
        <v>409</v>
      </c>
      <c r="M2769" s="339" t="s">
        <v>409</v>
      </c>
      <c r="N2769" s="338" t="s">
        <v>417</v>
      </c>
      <c r="O2769" s="338" t="s">
        <v>409</v>
      </c>
      <c r="P2769" s="338"/>
    </row>
    <row r="2770" spans="2:16" x14ac:dyDescent="0.25">
      <c r="B2770" s="336" t="s">
        <v>416</v>
      </c>
      <c r="C2770" s="337">
        <v>39610</v>
      </c>
      <c r="D2770" s="338" t="s">
        <v>4350</v>
      </c>
      <c r="E2770" s="336" t="s">
        <v>4349</v>
      </c>
      <c r="F2770" s="338"/>
      <c r="G2770" s="338" t="s">
        <v>413</v>
      </c>
      <c r="H2770" s="338" t="s">
        <v>412</v>
      </c>
      <c r="I2770" s="338" t="s">
        <v>411</v>
      </c>
      <c r="J2770" s="339"/>
      <c r="K2770" s="339"/>
      <c r="L2770" s="339" t="s">
        <v>409</v>
      </c>
      <c r="M2770" s="339" t="s">
        <v>409</v>
      </c>
      <c r="N2770" s="338" t="s">
        <v>417</v>
      </c>
      <c r="O2770" s="338" t="s">
        <v>409</v>
      </c>
      <c r="P2770" s="338" t="s">
        <v>443</v>
      </c>
    </row>
    <row r="2771" spans="2:16" x14ac:dyDescent="0.25">
      <c r="B2771" s="336" t="s">
        <v>416</v>
      </c>
      <c r="C2771" s="337">
        <v>39609</v>
      </c>
      <c r="D2771" s="338" t="s">
        <v>4348</v>
      </c>
      <c r="E2771" s="336" t="s">
        <v>4347</v>
      </c>
      <c r="F2771" s="338" t="s">
        <v>4346</v>
      </c>
      <c r="G2771" s="338" t="s">
        <v>413</v>
      </c>
      <c r="H2771" s="338" t="s">
        <v>425</v>
      </c>
      <c r="I2771" s="338" t="s">
        <v>411</v>
      </c>
      <c r="J2771" s="339"/>
      <c r="K2771" s="339"/>
      <c r="L2771" s="339"/>
      <c r="M2771" s="339"/>
      <c r="N2771" s="338"/>
      <c r="O2771" s="338" t="s">
        <v>443</v>
      </c>
      <c r="P2771" s="338" t="s">
        <v>417</v>
      </c>
    </row>
    <row r="2772" spans="2:16" x14ac:dyDescent="0.25">
      <c r="B2772" s="336" t="s">
        <v>416</v>
      </c>
      <c r="C2772" s="337">
        <v>39609</v>
      </c>
      <c r="D2772" s="338" t="s">
        <v>4345</v>
      </c>
      <c r="E2772" s="336" t="s">
        <v>1619</v>
      </c>
      <c r="F2772" s="338" t="s">
        <v>4344</v>
      </c>
      <c r="G2772" s="338" t="s">
        <v>413</v>
      </c>
      <c r="H2772" s="338" t="s">
        <v>412</v>
      </c>
      <c r="I2772" s="338" t="s">
        <v>411</v>
      </c>
      <c r="J2772" s="339"/>
      <c r="K2772" s="339"/>
      <c r="L2772" s="339">
        <v>0.636374</v>
      </c>
      <c r="M2772" s="339">
        <v>11.0806</v>
      </c>
      <c r="N2772" s="338" t="s">
        <v>410</v>
      </c>
      <c r="O2772" s="338" t="s">
        <v>410</v>
      </c>
      <c r="P2772" s="338" t="s">
        <v>417</v>
      </c>
    </row>
    <row r="2773" spans="2:16" x14ac:dyDescent="0.25">
      <c r="B2773" s="336" t="s">
        <v>416</v>
      </c>
      <c r="C2773" s="337">
        <v>39605</v>
      </c>
      <c r="D2773" s="338" t="s">
        <v>4343</v>
      </c>
      <c r="E2773" s="336" t="s">
        <v>4342</v>
      </c>
      <c r="F2773" s="338"/>
      <c r="G2773" s="338" t="s">
        <v>413</v>
      </c>
      <c r="H2773" s="338" t="s">
        <v>425</v>
      </c>
      <c r="I2773" s="338" t="s">
        <v>411</v>
      </c>
      <c r="J2773" s="339"/>
      <c r="K2773" s="339"/>
      <c r="L2773" s="339" t="s">
        <v>409</v>
      </c>
      <c r="M2773" s="339" t="s">
        <v>409</v>
      </c>
      <c r="N2773" s="338" t="s">
        <v>417</v>
      </c>
      <c r="O2773" s="338" t="s">
        <v>409</v>
      </c>
      <c r="P2773" s="338" t="s">
        <v>443</v>
      </c>
    </row>
    <row r="2774" spans="2:16" x14ac:dyDescent="0.25">
      <c r="B2774" s="336" t="s">
        <v>416</v>
      </c>
      <c r="C2774" s="337">
        <v>39605</v>
      </c>
      <c r="D2774" s="338" t="s">
        <v>4341</v>
      </c>
      <c r="E2774" s="336" t="s">
        <v>514</v>
      </c>
      <c r="F2774" s="338" t="s">
        <v>4340</v>
      </c>
      <c r="G2774" s="338" t="s">
        <v>413</v>
      </c>
      <c r="H2774" s="338" t="s">
        <v>425</v>
      </c>
      <c r="I2774" s="338" t="s">
        <v>411</v>
      </c>
      <c r="J2774" s="339"/>
      <c r="K2774" s="339"/>
      <c r="L2774" s="339">
        <v>0.91353499999999999</v>
      </c>
      <c r="M2774" s="339">
        <v>11.2293</v>
      </c>
      <c r="N2774" s="338" t="s">
        <v>417</v>
      </c>
      <c r="O2774" s="338" t="s">
        <v>417</v>
      </c>
      <c r="P2774" s="338"/>
    </row>
    <row r="2775" spans="2:16" x14ac:dyDescent="0.25">
      <c r="B2775" s="336" t="s">
        <v>416</v>
      </c>
      <c r="C2775" s="337">
        <v>39604</v>
      </c>
      <c r="D2775" s="338" t="s">
        <v>4339</v>
      </c>
      <c r="E2775" s="336" t="s">
        <v>4338</v>
      </c>
      <c r="F2775" s="338" t="s">
        <v>4337</v>
      </c>
      <c r="G2775" s="338" t="s">
        <v>413</v>
      </c>
      <c r="H2775" s="338" t="s">
        <v>425</v>
      </c>
      <c r="I2775" s="338" t="s">
        <v>411</v>
      </c>
      <c r="J2775" s="339"/>
      <c r="K2775" s="339"/>
      <c r="L2775" s="339"/>
      <c r="M2775" s="339"/>
      <c r="N2775" s="338" t="s">
        <v>410</v>
      </c>
      <c r="O2775" s="338" t="s">
        <v>410</v>
      </c>
      <c r="P2775" s="338" t="s">
        <v>417</v>
      </c>
    </row>
    <row r="2776" spans="2:16" x14ac:dyDescent="0.25">
      <c r="B2776" s="336" t="s">
        <v>416</v>
      </c>
      <c r="C2776" s="337">
        <v>39604</v>
      </c>
      <c r="D2776" s="338" t="s">
        <v>692</v>
      </c>
      <c r="E2776" s="336" t="s">
        <v>4336</v>
      </c>
      <c r="F2776" s="338"/>
      <c r="G2776" s="338" t="s">
        <v>413</v>
      </c>
      <c r="H2776" s="338" t="s">
        <v>412</v>
      </c>
      <c r="I2776" s="338" t="s">
        <v>411</v>
      </c>
      <c r="J2776" s="339"/>
      <c r="K2776" s="339"/>
      <c r="L2776" s="339" t="s">
        <v>409</v>
      </c>
      <c r="M2776" s="339" t="s">
        <v>409</v>
      </c>
      <c r="N2776" s="338"/>
      <c r="O2776" s="338" t="s">
        <v>409</v>
      </c>
      <c r="P2776" s="338" t="s">
        <v>543</v>
      </c>
    </row>
    <row r="2777" spans="2:16" x14ac:dyDescent="0.25">
      <c r="B2777" s="336" t="s">
        <v>1441</v>
      </c>
      <c r="C2777" s="337">
        <v>39604</v>
      </c>
      <c r="D2777" s="338" t="s">
        <v>4335</v>
      </c>
      <c r="E2777" s="336" t="s">
        <v>4334</v>
      </c>
      <c r="F2777" s="338"/>
      <c r="G2777" s="338" t="s">
        <v>413</v>
      </c>
      <c r="H2777" s="338" t="s">
        <v>412</v>
      </c>
      <c r="I2777" s="338" t="s">
        <v>411</v>
      </c>
      <c r="J2777" s="339"/>
      <c r="K2777" s="339"/>
      <c r="L2777" s="339" t="s">
        <v>409</v>
      </c>
      <c r="M2777" s="339" t="s">
        <v>409</v>
      </c>
      <c r="N2777" s="338" t="s">
        <v>417</v>
      </c>
      <c r="O2777" s="338" t="s">
        <v>409</v>
      </c>
      <c r="P2777" s="338" t="s">
        <v>482</v>
      </c>
    </row>
    <row r="2778" spans="2:16" x14ac:dyDescent="0.25">
      <c r="B2778" s="336" t="s">
        <v>416</v>
      </c>
      <c r="C2778" s="337">
        <v>39604</v>
      </c>
      <c r="D2778" s="338" t="s">
        <v>4333</v>
      </c>
      <c r="E2778" s="336" t="s">
        <v>4332</v>
      </c>
      <c r="F2778" s="338" t="s">
        <v>1489</v>
      </c>
      <c r="G2778" s="338" t="s">
        <v>413</v>
      </c>
      <c r="H2778" s="338" t="s">
        <v>425</v>
      </c>
      <c r="I2778" s="338" t="s">
        <v>411</v>
      </c>
      <c r="J2778" s="339"/>
      <c r="K2778" s="339"/>
      <c r="L2778" s="339">
        <v>0.630274</v>
      </c>
      <c r="M2778" s="339">
        <v>5.2013400000000001</v>
      </c>
      <c r="N2778" s="338"/>
      <c r="O2778" s="338" t="s">
        <v>417</v>
      </c>
      <c r="P2778" s="338" t="s">
        <v>443</v>
      </c>
    </row>
    <row r="2779" spans="2:16" x14ac:dyDescent="0.25">
      <c r="B2779" s="336" t="s">
        <v>416</v>
      </c>
      <c r="C2779" s="337">
        <v>39603</v>
      </c>
      <c r="D2779" s="338" t="s">
        <v>4331</v>
      </c>
      <c r="E2779" s="336" t="s">
        <v>4330</v>
      </c>
      <c r="F2779" s="338" t="s">
        <v>461</v>
      </c>
      <c r="G2779" s="338">
        <v>2</v>
      </c>
      <c r="H2779" s="338" t="s">
        <v>425</v>
      </c>
      <c r="I2779" s="338" t="s">
        <v>411</v>
      </c>
      <c r="J2779" s="339"/>
      <c r="K2779" s="339"/>
      <c r="L2779" s="339">
        <v>1.2060200000000001</v>
      </c>
      <c r="M2779" s="339">
        <v>6.2873900000000003</v>
      </c>
      <c r="N2779" s="338"/>
      <c r="O2779" s="338" t="s">
        <v>417</v>
      </c>
      <c r="P2779" s="338" t="s">
        <v>417</v>
      </c>
    </row>
    <row r="2780" spans="2:16" x14ac:dyDescent="0.25">
      <c r="B2780" s="336" t="s">
        <v>416</v>
      </c>
      <c r="C2780" s="337">
        <v>39603</v>
      </c>
      <c r="D2780" s="338" t="s">
        <v>4329</v>
      </c>
      <c r="E2780" s="336" t="s">
        <v>4328</v>
      </c>
      <c r="F2780" s="338"/>
      <c r="G2780" s="338" t="s">
        <v>413</v>
      </c>
      <c r="H2780" s="338" t="s">
        <v>425</v>
      </c>
      <c r="I2780" s="338" t="s">
        <v>411</v>
      </c>
      <c r="J2780" s="339"/>
      <c r="K2780" s="339"/>
      <c r="L2780" s="339" t="s">
        <v>409</v>
      </c>
      <c r="M2780" s="339" t="s">
        <v>409</v>
      </c>
      <c r="N2780" s="338" t="s">
        <v>417</v>
      </c>
      <c r="O2780" s="338" t="s">
        <v>409</v>
      </c>
      <c r="P2780" s="338"/>
    </row>
    <row r="2781" spans="2:16" x14ac:dyDescent="0.25">
      <c r="B2781" s="336" t="s">
        <v>416</v>
      </c>
      <c r="C2781" s="337">
        <v>39603</v>
      </c>
      <c r="D2781" s="338" t="s">
        <v>4327</v>
      </c>
      <c r="E2781" s="336" t="s">
        <v>4003</v>
      </c>
      <c r="F2781" s="338" t="s">
        <v>4326</v>
      </c>
      <c r="G2781" s="338" t="s">
        <v>413</v>
      </c>
      <c r="H2781" s="338" t="s">
        <v>425</v>
      </c>
      <c r="I2781" s="338" t="s">
        <v>411</v>
      </c>
      <c r="J2781" s="339"/>
      <c r="K2781" s="339"/>
      <c r="L2781" s="339"/>
      <c r="M2781" s="339"/>
      <c r="N2781" s="338"/>
      <c r="O2781" s="338" t="s">
        <v>417</v>
      </c>
      <c r="P2781" s="338" t="s">
        <v>417</v>
      </c>
    </row>
    <row r="2782" spans="2:16" x14ac:dyDescent="0.25">
      <c r="B2782" s="336" t="s">
        <v>416</v>
      </c>
      <c r="C2782" s="337">
        <v>39603</v>
      </c>
      <c r="D2782" s="338" t="s">
        <v>4325</v>
      </c>
      <c r="E2782" s="336" t="s">
        <v>4324</v>
      </c>
      <c r="F2782" s="338" t="s">
        <v>889</v>
      </c>
      <c r="G2782" s="338">
        <v>4500.92</v>
      </c>
      <c r="H2782" s="338" t="s">
        <v>336</v>
      </c>
      <c r="I2782" s="338" t="s">
        <v>411</v>
      </c>
      <c r="J2782" s="339"/>
      <c r="K2782" s="339"/>
      <c r="L2782" s="339">
        <v>2.9470299999999998</v>
      </c>
      <c r="M2782" s="339">
        <v>13.790100000000001</v>
      </c>
      <c r="N2782" s="338" t="s">
        <v>410</v>
      </c>
      <c r="O2782" s="338" t="s">
        <v>410</v>
      </c>
      <c r="P2782" s="338" t="s">
        <v>410</v>
      </c>
    </row>
    <row r="2783" spans="2:16" x14ac:dyDescent="0.25">
      <c r="B2783" s="336" t="s">
        <v>416</v>
      </c>
      <c r="C2783" s="337">
        <v>39603</v>
      </c>
      <c r="D2783" s="338" t="s">
        <v>4323</v>
      </c>
      <c r="E2783" s="336" t="s">
        <v>4322</v>
      </c>
      <c r="F2783" s="338" t="s">
        <v>4321</v>
      </c>
      <c r="G2783" s="338" t="s">
        <v>413</v>
      </c>
      <c r="H2783" s="338" t="s">
        <v>425</v>
      </c>
      <c r="I2783" s="338" t="s">
        <v>411</v>
      </c>
      <c r="J2783" s="339"/>
      <c r="K2783" s="339"/>
      <c r="L2783" s="339"/>
      <c r="M2783" s="339"/>
      <c r="N2783" s="338"/>
      <c r="O2783" s="338" t="s">
        <v>443</v>
      </c>
      <c r="P2783" s="338" t="s">
        <v>443</v>
      </c>
    </row>
    <row r="2784" spans="2:16" x14ac:dyDescent="0.25">
      <c r="B2784" s="336" t="s">
        <v>416</v>
      </c>
      <c r="C2784" s="337">
        <v>39603</v>
      </c>
      <c r="D2784" s="338" t="s">
        <v>4320</v>
      </c>
      <c r="E2784" s="336" t="s">
        <v>4319</v>
      </c>
      <c r="F2784" s="338"/>
      <c r="G2784" s="338">
        <v>70</v>
      </c>
      <c r="H2784" s="338" t="s">
        <v>425</v>
      </c>
      <c r="I2784" s="338" t="s">
        <v>411</v>
      </c>
      <c r="J2784" s="339"/>
      <c r="K2784" s="339"/>
      <c r="L2784" s="339" t="s">
        <v>409</v>
      </c>
      <c r="M2784" s="339" t="s">
        <v>409</v>
      </c>
      <c r="N2784" s="338"/>
      <c r="O2784" s="338" t="s">
        <v>409</v>
      </c>
      <c r="P2784" s="338" t="s">
        <v>443</v>
      </c>
    </row>
    <row r="2785" spans="2:16" x14ac:dyDescent="0.25">
      <c r="B2785" s="336" t="s">
        <v>416</v>
      </c>
      <c r="C2785" s="337">
        <v>39601</v>
      </c>
      <c r="D2785" s="338" t="s">
        <v>4318</v>
      </c>
      <c r="E2785" s="336" t="s">
        <v>3074</v>
      </c>
      <c r="F2785" s="338" t="s">
        <v>4317</v>
      </c>
      <c r="G2785" s="338">
        <v>3.76</v>
      </c>
      <c r="H2785" s="338" t="s">
        <v>429</v>
      </c>
      <c r="I2785" s="338" t="s">
        <v>411</v>
      </c>
      <c r="J2785" s="339"/>
      <c r="K2785" s="339"/>
      <c r="L2785" s="339"/>
      <c r="M2785" s="339"/>
      <c r="N2785" s="338"/>
      <c r="O2785" s="338" t="s">
        <v>410</v>
      </c>
      <c r="P2785" s="338" t="s">
        <v>417</v>
      </c>
    </row>
    <row r="2786" spans="2:16" x14ac:dyDescent="0.25">
      <c r="B2786" s="336" t="s">
        <v>416</v>
      </c>
      <c r="C2786" s="337">
        <v>39601</v>
      </c>
      <c r="D2786" s="338" t="s">
        <v>4316</v>
      </c>
      <c r="E2786" s="336" t="s">
        <v>4315</v>
      </c>
      <c r="F2786" s="338" t="s">
        <v>4314</v>
      </c>
      <c r="G2786" s="338" t="s">
        <v>413</v>
      </c>
      <c r="H2786" s="338" t="s">
        <v>425</v>
      </c>
      <c r="I2786" s="338" t="s">
        <v>411</v>
      </c>
      <c r="J2786" s="339"/>
      <c r="K2786" s="339"/>
      <c r="L2786" s="339"/>
      <c r="M2786" s="339"/>
      <c r="N2786" s="338"/>
      <c r="O2786" s="338" t="s">
        <v>487</v>
      </c>
      <c r="P2786" s="338" t="s">
        <v>417</v>
      </c>
    </row>
    <row r="2787" spans="2:16" x14ac:dyDescent="0.25">
      <c r="B2787" s="336" t="s">
        <v>416</v>
      </c>
      <c r="C2787" s="337">
        <v>39598</v>
      </c>
      <c r="D2787" s="338" t="s">
        <v>4313</v>
      </c>
      <c r="E2787" s="336" t="s">
        <v>4312</v>
      </c>
      <c r="F2787" s="338"/>
      <c r="G2787" s="338">
        <v>49</v>
      </c>
      <c r="H2787" s="338" t="s">
        <v>425</v>
      </c>
      <c r="I2787" s="338" t="s">
        <v>411</v>
      </c>
      <c r="J2787" s="339">
        <v>0.25983000000000001</v>
      </c>
      <c r="K2787" s="339"/>
      <c r="L2787" s="339" t="s">
        <v>409</v>
      </c>
      <c r="M2787" s="339" t="s">
        <v>409</v>
      </c>
      <c r="N2787" s="338" t="s">
        <v>417</v>
      </c>
      <c r="O2787" s="338" t="s">
        <v>409</v>
      </c>
      <c r="P2787" s="338"/>
    </row>
    <row r="2788" spans="2:16" x14ac:dyDescent="0.25">
      <c r="B2788" s="336" t="s">
        <v>416</v>
      </c>
      <c r="C2788" s="337">
        <v>39598</v>
      </c>
      <c r="D2788" s="338" t="s">
        <v>4311</v>
      </c>
      <c r="E2788" s="336" t="s">
        <v>4310</v>
      </c>
      <c r="F2788" s="338" t="s">
        <v>2788</v>
      </c>
      <c r="G2788" s="338" t="s">
        <v>413</v>
      </c>
      <c r="H2788" s="338" t="s">
        <v>336</v>
      </c>
      <c r="I2788" s="338" t="s">
        <v>411</v>
      </c>
      <c r="J2788" s="339"/>
      <c r="K2788" s="339"/>
      <c r="L2788" s="339"/>
      <c r="M2788" s="339"/>
      <c r="N2788" s="338" t="s">
        <v>432</v>
      </c>
      <c r="O2788" s="338" t="s">
        <v>417</v>
      </c>
      <c r="P2788" s="338" t="s">
        <v>487</v>
      </c>
    </row>
    <row r="2789" spans="2:16" x14ac:dyDescent="0.25">
      <c r="B2789" s="336" t="s">
        <v>416</v>
      </c>
      <c r="C2789" s="337">
        <v>39597</v>
      </c>
      <c r="D2789" s="338" t="s">
        <v>4309</v>
      </c>
      <c r="E2789" s="336" t="s">
        <v>4308</v>
      </c>
      <c r="F2789" s="338"/>
      <c r="G2789" s="338" t="s">
        <v>413</v>
      </c>
      <c r="H2789" s="338" t="s">
        <v>412</v>
      </c>
      <c r="I2789" s="338" t="s">
        <v>411</v>
      </c>
      <c r="J2789" s="339"/>
      <c r="K2789" s="339"/>
      <c r="L2789" s="339" t="s">
        <v>409</v>
      </c>
      <c r="M2789" s="339" t="s">
        <v>409</v>
      </c>
      <c r="N2789" s="338" t="s">
        <v>417</v>
      </c>
      <c r="O2789" s="338" t="s">
        <v>409</v>
      </c>
      <c r="P2789" s="338" t="s">
        <v>605</v>
      </c>
    </row>
    <row r="2790" spans="2:16" x14ac:dyDescent="0.25">
      <c r="B2790" s="336" t="s">
        <v>416</v>
      </c>
      <c r="C2790" s="337">
        <v>39597</v>
      </c>
      <c r="D2790" s="338" t="s">
        <v>4307</v>
      </c>
      <c r="E2790" s="336" t="s">
        <v>4306</v>
      </c>
      <c r="F2790" s="338"/>
      <c r="G2790" s="338" t="s">
        <v>413</v>
      </c>
      <c r="H2790" s="338" t="s">
        <v>425</v>
      </c>
      <c r="I2790" s="338" t="s">
        <v>411</v>
      </c>
      <c r="J2790" s="339"/>
      <c r="K2790" s="339"/>
      <c r="L2790" s="339" t="s">
        <v>409</v>
      </c>
      <c r="M2790" s="339" t="s">
        <v>409</v>
      </c>
      <c r="N2790" s="338" t="s">
        <v>417</v>
      </c>
      <c r="O2790" s="338" t="s">
        <v>409</v>
      </c>
      <c r="P2790" s="338"/>
    </row>
    <row r="2791" spans="2:16" x14ac:dyDescent="0.25">
      <c r="B2791" s="336" t="s">
        <v>416</v>
      </c>
      <c r="C2791" s="337">
        <v>39595</v>
      </c>
      <c r="D2791" s="338" t="s">
        <v>4305</v>
      </c>
      <c r="E2791" s="336" t="s">
        <v>577</v>
      </c>
      <c r="F2791" s="338"/>
      <c r="G2791" s="338">
        <v>16.79</v>
      </c>
      <c r="H2791" s="338" t="s">
        <v>425</v>
      </c>
      <c r="I2791" s="338" t="s">
        <v>411</v>
      </c>
      <c r="J2791" s="339">
        <v>0.29574899999999998</v>
      </c>
      <c r="K2791" s="339"/>
      <c r="L2791" s="339" t="s">
        <v>409</v>
      </c>
      <c r="M2791" s="339" t="s">
        <v>409</v>
      </c>
      <c r="N2791" s="338" t="s">
        <v>417</v>
      </c>
      <c r="O2791" s="338" t="s">
        <v>409</v>
      </c>
      <c r="P2791" s="338" t="s">
        <v>432</v>
      </c>
    </row>
    <row r="2792" spans="2:16" x14ac:dyDescent="0.25">
      <c r="B2792" s="336" t="s">
        <v>416</v>
      </c>
      <c r="C2792" s="337">
        <v>39590</v>
      </c>
      <c r="D2792" s="338" t="s">
        <v>4304</v>
      </c>
      <c r="E2792" s="336" t="s">
        <v>3841</v>
      </c>
      <c r="F2792" s="338" t="s">
        <v>4303</v>
      </c>
      <c r="G2792" s="338">
        <v>70.8</v>
      </c>
      <c r="H2792" s="338" t="s">
        <v>425</v>
      </c>
      <c r="I2792" s="338" t="s">
        <v>411</v>
      </c>
      <c r="J2792" s="339"/>
      <c r="K2792" s="339"/>
      <c r="L2792" s="339"/>
      <c r="M2792" s="339"/>
      <c r="N2792" s="338" t="s">
        <v>417</v>
      </c>
      <c r="O2792" s="338" t="s">
        <v>417</v>
      </c>
      <c r="P2792" s="338" t="s">
        <v>417</v>
      </c>
    </row>
    <row r="2793" spans="2:16" x14ac:dyDescent="0.25">
      <c r="B2793" s="336" t="s">
        <v>416</v>
      </c>
      <c r="C2793" s="337">
        <v>39589</v>
      </c>
      <c r="D2793" s="338" t="s">
        <v>4302</v>
      </c>
      <c r="E2793" s="336" t="s">
        <v>1079</v>
      </c>
      <c r="F2793" s="338"/>
      <c r="G2793" s="338" t="s">
        <v>413</v>
      </c>
      <c r="H2793" s="338" t="s">
        <v>412</v>
      </c>
      <c r="I2793" s="338" t="s">
        <v>411</v>
      </c>
      <c r="J2793" s="339"/>
      <c r="K2793" s="339"/>
      <c r="L2793" s="339" t="s">
        <v>409</v>
      </c>
      <c r="M2793" s="339" t="s">
        <v>409</v>
      </c>
      <c r="N2793" s="338"/>
      <c r="O2793" s="338" t="s">
        <v>409</v>
      </c>
      <c r="P2793" s="338" t="s">
        <v>417</v>
      </c>
    </row>
    <row r="2794" spans="2:16" x14ac:dyDescent="0.25">
      <c r="B2794" s="336" t="s">
        <v>416</v>
      </c>
      <c r="C2794" s="337">
        <v>39588</v>
      </c>
      <c r="D2794" s="338" t="s">
        <v>3488</v>
      </c>
      <c r="E2794" s="336" t="s">
        <v>669</v>
      </c>
      <c r="F2794" s="338" t="s">
        <v>3494</v>
      </c>
      <c r="G2794" s="338" t="s">
        <v>413</v>
      </c>
      <c r="H2794" s="338" t="s">
        <v>425</v>
      </c>
      <c r="I2794" s="338" t="s">
        <v>411</v>
      </c>
      <c r="J2794" s="339"/>
      <c r="K2794" s="339"/>
      <c r="L2794" s="339">
        <v>4.4746899999999998</v>
      </c>
      <c r="M2794" s="339">
        <v>11.501300000000001</v>
      </c>
      <c r="N2794" s="338"/>
      <c r="O2794" s="338" t="s">
        <v>417</v>
      </c>
      <c r="P2794" s="338"/>
    </row>
    <row r="2795" spans="2:16" x14ac:dyDescent="0.25">
      <c r="B2795" s="336" t="s">
        <v>416</v>
      </c>
      <c r="C2795" s="337">
        <v>39588</v>
      </c>
      <c r="D2795" s="338" t="s">
        <v>4301</v>
      </c>
      <c r="E2795" s="336" t="s">
        <v>3778</v>
      </c>
      <c r="F2795" s="338"/>
      <c r="G2795" s="338" t="s">
        <v>413</v>
      </c>
      <c r="H2795" s="338" t="s">
        <v>412</v>
      </c>
      <c r="I2795" s="338" t="s">
        <v>411</v>
      </c>
      <c r="J2795" s="339"/>
      <c r="K2795" s="339"/>
      <c r="L2795" s="339" t="s">
        <v>409</v>
      </c>
      <c r="M2795" s="339" t="s">
        <v>409</v>
      </c>
      <c r="N2795" s="338" t="s">
        <v>417</v>
      </c>
      <c r="O2795" s="338" t="s">
        <v>409</v>
      </c>
      <c r="P2795" s="338" t="s">
        <v>443</v>
      </c>
    </row>
    <row r="2796" spans="2:16" x14ac:dyDescent="0.25">
      <c r="B2796" s="336" t="s">
        <v>416</v>
      </c>
      <c r="C2796" s="337">
        <v>39588</v>
      </c>
      <c r="D2796" s="338" t="s">
        <v>4300</v>
      </c>
      <c r="E2796" s="336" t="s">
        <v>4299</v>
      </c>
      <c r="F2796" s="338"/>
      <c r="G2796" s="338" t="s">
        <v>413</v>
      </c>
      <c r="H2796" s="338" t="s">
        <v>336</v>
      </c>
      <c r="I2796" s="338" t="s">
        <v>411</v>
      </c>
      <c r="J2796" s="339"/>
      <c r="K2796" s="339"/>
      <c r="L2796" s="339" t="s">
        <v>409</v>
      </c>
      <c r="M2796" s="339" t="s">
        <v>409</v>
      </c>
      <c r="N2796" s="338" t="s">
        <v>487</v>
      </c>
      <c r="O2796" s="338" t="s">
        <v>409</v>
      </c>
      <c r="P2796" s="338" t="s">
        <v>487</v>
      </c>
    </row>
    <row r="2797" spans="2:16" x14ac:dyDescent="0.25">
      <c r="B2797" s="336" t="s">
        <v>416</v>
      </c>
      <c r="C2797" s="337">
        <v>39588</v>
      </c>
      <c r="D2797" s="338" t="s">
        <v>4298</v>
      </c>
      <c r="E2797" s="336" t="s">
        <v>4297</v>
      </c>
      <c r="F2797" s="338"/>
      <c r="G2797" s="338" t="s">
        <v>413</v>
      </c>
      <c r="H2797" s="338" t="s">
        <v>412</v>
      </c>
      <c r="I2797" s="338" t="s">
        <v>411</v>
      </c>
      <c r="J2797" s="339"/>
      <c r="K2797" s="339"/>
      <c r="L2797" s="339" t="s">
        <v>409</v>
      </c>
      <c r="M2797" s="339" t="s">
        <v>409</v>
      </c>
      <c r="N2797" s="338" t="s">
        <v>417</v>
      </c>
      <c r="O2797" s="338" t="s">
        <v>409</v>
      </c>
      <c r="P2797" s="338" t="s">
        <v>443</v>
      </c>
    </row>
    <row r="2798" spans="2:16" x14ac:dyDescent="0.25">
      <c r="B2798" s="336" t="s">
        <v>416</v>
      </c>
      <c r="C2798" s="337">
        <v>39587</v>
      </c>
      <c r="D2798" s="338" t="s">
        <v>4296</v>
      </c>
      <c r="E2798" s="336" t="s">
        <v>4295</v>
      </c>
      <c r="F2798" s="338"/>
      <c r="G2798" s="338">
        <v>4.5</v>
      </c>
      <c r="H2798" s="338" t="s">
        <v>425</v>
      </c>
      <c r="I2798" s="338" t="s">
        <v>411</v>
      </c>
      <c r="J2798" s="339"/>
      <c r="K2798" s="339"/>
      <c r="L2798" s="339" t="s">
        <v>409</v>
      </c>
      <c r="M2798" s="339" t="s">
        <v>409</v>
      </c>
      <c r="N2798" s="338" t="s">
        <v>417</v>
      </c>
      <c r="O2798" s="338" t="s">
        <v>409</v>
      </c>
      <c r="P2798" s="338" t="s">
        <v>417</v>
      </c>
    </row>
    <row r="2799" spans="2:16" x14ac:dyDescent="0.25">
      <c r="B2799" s="336" t="s">
        <v>416</v>
      </c>
      <c r="C2799" s="337">
        <v>39584</v>
      </c>
      <c r="D2799" s="338" t="s">
        <v>4294</v>
      </c>
      <c r="E2799" s="336" t="s">
        <v>4293</v>
      </c>
      <c r="F2799" s="338"/>
      <c r="G2799" s="338" t="s">
        <v>413</v>
      </c>
      <c r="H2799" s="338" t="s">
        <v>425</v>
      </c>
      <c r="I2799" s="338" t="s">
        <v>411</v>
      </c>
      <c r="J2799" s="339"/>
      <c r="K2799" s="339"/>
      <c r="L2799" s="339" t="s">
        <v>409</v>
      </c>
      <c r="M2799" s="339" t="s">
        <v>409</v>
      </c>
      <c r="N2799" s="338" t="s">
        <v>417</v>
      </c>
      <c r="O2799" s="338" t="s">
        <v>409</v>
      </c>
      <c r="P2799" s="338" t="s">
        <v>443</v>
      </c>
    </row>
    <row r="2800" spans="2:16" x14ac:dyDescent="0.25">
      <c r="B2800" s="336" t="s">
        <v>416</v>
      </c>
      <c r="C2800" s="337">
        <v>39584</v>
      </c>
      <c r="D2800" s="338" t="s">
        <v>4292</v>
      </c>
      <c r="E2800" s="336" t="s">
        <v>4291</v>
      </c>
      <c r="F2800" s="338" t="s">
        <v>4290</v>
      </c>
      <c r="G2800" s="338">
        <v>32.9</v>
      </c>
      <c r="H2800" s="338" t="s">
        <v>425</v>
      </c>
      <c r="I2800" s="338" t="s">
        <v>411</v>
      </c>
      <c r="J2800" s="339"/>
      <c r="K2800" s="339"/>
      <c r="L2800" s="339"/>
      <c r="M2800" s="339"/>
      <c r="N2800" s="338"/>
      <c r="O2800" s="338" t="s">
        <v>417</v>
      </c>
      <c r="P2800" s="338"/>
    </row>
    <row r="2801" spans="2:16" x14ac:dyDescent="0.25">
      <c r="B2801" s="336" t="s">
        <v>416</v>
      </c>
      <c r="C2801" s="337">
        <v>39583</v>
      </c>
      <c r="D2801" s="338" t="s">
        <v>4289</v>
      </c>
      <c r="E2801" s="336" t="s">
        <v>2504</v>
      </c>
      <c r="F2801" s="338" t="s">
        <v>4288</v>
      </c>
      <c r="G2801" s="338" t="s">
        <v>413</v>
      </c>
      <c r="H2801" s="338" t="s">
        <v>425</v>
      </c>
      <c r="I2801" s="338" t="s">
        <v>411</v>
      </c>
      <c r="J2801" s="339"/>
      <c r="K2801" s="339"/>
      <c r="L2801" s="339"/>
      <c r="M2801" s="339"/>
      <c r="N2801" s="338"/>
      <c r="O2801" s="338" t="s">
        <v>417</v>
      </c>
      <c r="P2801" s="338" t="s">
        <v>443</v>
      </c>
    </row>
    <row r="2802" spans="2:16" x14ac:dyDescent="0.25">
      <c r="B2802" s="336" t="s">
        <v>416</v>
      </c>
      <c r="C2802" s="337">
        <v>39583</v>
      </c>
      <c r="D2802" s="338" t="s">
        <v>4287</v>
      </c>
      <c r="E2802" s="336" t="s">
        <v>3686</v>
      </c>
      <c r="F2802" s="338"/>
      <c r="G2802" s="338" t="s">
        <v>413</v>
      </c>
      <c r="H2802" s="338" t="s">
        <v>412</v>
      </c>
      <c r="I2802" s="338" t="s">
        <v>411</v>
      </c>
      <c r="J2802" s="339"/>
      <c r="K2802" s="339"/>
      <c r="L2802" s="339" t="s">
        <v>409</v>
      </c>
      <c r="M2802" s="339" t="s">
        <v>409</v>
      </c>
      <c r="N2802" s="338" t="s">
        <v>417</v>
      </c>
      <c r="O2802" s="338" t="s">
        <v>409</v>
      </c>
      <c r="P2802" s="338" t="s">
        <v>432</v>
      </c>
    </row>
    <row r="2803" spans="2:16" x14ac:dyDescent="0.25">
      <c r="B2803" s="336" t="s">
        <v>416</v>
      </c>
      <c r="C2803" s="337">
        <v>39583</v>
      </c>
      <c r="D2803" s="338" t="s">
        <v>4286</v>
      </c>
      <c r="E2803" s="336" t="s">
        <v>3074</v>
      </c>
      <c r="F2803" s="338" t="s">
        <v>4285</v>
      </c>
      <c r="G2803" s="338">
        <v>1.7</v>
      </c>
      <c r="H2803" s="338" t="s">
        <v>429</v>
      </c>
      <c r="I2803" s="338" t="s">
        <v>411</v>
      </c>
      <c r="J2803" s="339"/>
      <c r="K2803" s="339"/>
      <c r="L2803" s="339"/>
      <c r="M2803" s="339"/>
      <c r="N2803" s="338"/>
      <c r="O2803" s="338" t="s">
        <v>417</v>
      </c>
      <c r="P2803" s="338" t="s">
        <v>417</v>
      </c>
    </row>
    <row r="2804" spans="2:16" x14ac:dyDescent="0.25">
      <c r="B2804" s="336" t="s">
        <v>416</v>
      </c>
      <c r="C2804" s="337">
        <v>39582</v>
      </c>
      <c r="D2804" s="338" t="s">
        <v>4284</v>
      </c>
      <c r="E2804" s="336" t="s">
        <v>514</v>
      </c>
      <c r="F2804" s="338" t="s">
        <v>4283</v>
      </c>
      <c r="G2804" s="338" t="s">
        <v>413</v>
      </c>
      <c r="H2804" s="338" t="s">
        <v>412</v>
      </c>
      <c r="I2804" s="338" t="s">
        <v>411</v>
      </c>
      <c r="J2804" s="339"/>
      <c r="K2804" s="339"/>
      <c r="L2804" s="339"/>
      <c r="M2804" s="339"/>
      <c r="N2804" s="338" t="s">
        <v>417</v>
      </c>
      <c r="O2804" s="338" t="s">
        <v>417</v>
      </c>
      <c r="P2804" s="338"/>
    </row>
    <row r="2805" spans="2:16" x14ac:dyDescent="0.25">
      <c r="B2805" s="336" t="s">
        <v>416</v>
      </c>
      <c r="C2805" s="337">
        <v>39581</v>
      </c>
      <c r="D2805" s="338" t="s">
        <v>4282</v>
      </c>
      <c r="E2805" s="336" t="s">
        <v>485</v>
      </c>
      <c r="F2805" s="338"/>
      <c r="G2805" s="338">
        <v>7.5</v>
      </c>
      <c r="H2805" s="338" t="s">
        <v>425</v>
      </c>
      <c r="I2805" s="338" t="s">
        <v>411</v>
      </c>
      <c r="J2805" s="339"/>
      <c r="K2805" s="339"/>
      <c r="L2805" s="339" t="s">
        <v>409</v>
      </c>
      <c r="M2805" s="339" t="s">
        <v>409</v>
      </c>
      <c r="N2805" s="338"/>
      <c r="O2805" s="338" t="s">
        <v>409</v>
      </c>
      <c r="P2805" s="338" t="s">
        <v>417</v>
      </c>
    </row>
    <row r="2806" spans="2:16" x14ac:dyDescent="0.25">
      <c r="B2806" s="336" t="s">
        <v>416</v>
      </c>
      <c r="C2806" s="337">
        <v>39581</v>
      </c>
      <c r="D2806" s="338" t="s">
        <v>4281</v>
      </c>
      <c r="E2806" s="336" t="s">
        <v>4280</v>
      </c>
      <c r="F2806" s="338"/>
      <c r="G2806" s="338" t="s">
        <v>413</v>
      </c>
      <c r="H2806" s="338" t="s">
        <v>412</v>
      </c>
      <c r="I2806" s="338" t="s">
        <v>411</v>
      </c>
      <c r="J2806" s="339"/>
      <c r="K2806" s="339"/>
      <c r="L2806" s="339" t="s">
        <v>409</v>
      </c>
      <c r="M2806" s="339" t="s">
        <v>409</v>
      </c>
      <c r="N2806" s="338" t="s">
        <v>417</v>
      </c>
      <c r="O2806" s="338" t="s">
        <v>409</v>
      </c>
      <c r="P2806" s="338" t="s">
        <v>417</v>
      </c>
    </row>
    <row r="2807" spans="2:16" x14ac:dyDescent="0.25">
      <c r="B2807" s="336" t="s">
        <v>416</v>
      </c>
      <c r="C2807" s="337">
        <v>39580</v>
      </c>
      <c r="D2807" s="338" t="s">
        <v>4279</v>
      </c>
      <c r="E2807" s="336" t="s">
        <v>3093</v>
      </c>
      <c r="F2807" s="338"/>
      <c r="G2807" s="338" t="s">
        <v>413</v>
      </c>
      <c r="H2807" s="338" t="s">
        <v>412</v>
      </c>
      <c r="I2807" s="338" t="s">
        <v>411</v>
      </c>
      <c r="J2807" s="339"/>
      <c r="K2807" s="339"/>
      <c r="L2807" s="339" t="s">
        <v>409</v>
      </c>
      <c r="M2807" s="339" t="s">
        <v>409</v>
      </c>
      <c r="N2807" s="338" t="s">
        <v>417</v>
      </c>
      <c r="O2807" s="338" t="s">
        <v>409</v>
      </c>
      <c r="P2807" s="338" t="s">
        <v>417</v>
      </c>
    </row>
    <row r="2808" spans="2:16" x14ac:dyDescent="0.25">
      <c r="B2808" s="336" t="s">
        <v>416</v>
      </c>
      <c r="C2808" s="337">
        <v>39577</v>
      </c>
      <c r="D2808" s="338" t="s">
        <v>4278</v>
      </c>
      <c r="E2808" s="336" t="s">
        <v>4277</v>
      </c>
      <c r="F2808" s="338"/>
      <c r="G2808" s="338" t="s">
        <v>413</v>
      </c>
      <c r="H2808" s="338" t="s">
        <v>425</v>
      </c>
      <c r="I2808" s="338" t="s">
        <v>411</v>
      </c>
      <c r="J2808" s="339"/>
      <c r="K2808" s="339"/>
      <c r="L2808" s="339" t="s">
        <v>409</v>
      </c>
      <c r="M2808" s="339" t="s">
        <v>409</v>
      </c>
      <c r="N2808" s="338"/>
      <c r="O2808" s="338" t="s">
        <v>409</v>
      </c>
      <c r="P2808" s="338" t="s">
        <v>417</v>
      </c>
    </row>
    <row r="2809" spans="2:16" x14ac:dyDescent="0.25">
      <c r="B2809" s="336" t="s">
        <v>416</v>
      </c>
      <c r="C2809" s="337">
        <v>39576</v>
      </c>
      <c r="D2809" s="338" t="s">
        <v>4276</v>
      </c>
      <c r="E2809" s="336" t="s">
        <v>746</v>
      </c>
      <c r="F2809" s="338" t="s">
        <v>4275</v>
      </c>
      <c r="G2809" s="338">
        <v>202</v>
      </c>
      <c r="H2809" s="338" t="s">
        <v>425</v>
      </c>
      <c r="I2809" s="338" t="s">
        <v>411</v>
      </c>
      <c r="J2809" s="339"/>
      <c r="K2809" s="339"/>
      <c r="L2809" s="339"/>
      <c r="M2809" s="339"/>
      <c r="N2809" s="338"/>
      <c r="O2809" s="338" t="s">
        <v>443</v>
      </c>
      <c r="P2809" s="338" t="s">
        <v>417</v>
      </c>
    </row>
    <row r="2810" spans="2:16" x14ac:dyDescent="0.25">
      <c r="B2810" s="336" t="s">
        <v>459</v>
      </c>
      <c r="C2810" s="337">
        <v>39576</v>
      </c>
      <c r="D2810" s="338" t="s">
        <v>4274</v>
      </c>
      <c r="E2810" s="336" t="s">
        <v>2039</v>
      </c>
      <c r="F2810" s="338"/>
      <c r="G2810" s="338" t="s">
        <v>413</v>
      </c>
      <c r="H2810" s="338" t="s">
        <v>429</v>
      </c>
      <c r="I2810" s="338" t="s">
        <v>411</v>
      </c>
      <c r="J2810" s="339"/>
      <c r="K2810" s="339"/>
      <c r="L2810" s="339" t="s">
        <v>409</v>
      </c>
      <c r="M2810" s="339" t="s">
        <v>409</v>
      </c>
      <c r="N2810" s="338" t="s">
        <v>410</v>
      </c>
      <c r="O2810" s="338" t="s">
        <v>409</v>
      </c>
      <c r="P2810" s="338"/>
    </row>
    <row r="2811" spans="2:16" x14ac:dyDescent="0.25">
      <c r="B2811" s="336" t="s">
        <v>416</v>
      </c>
      <c r="C2811" s="337">
        <v>39575</v>
      </c>
      <c r="D2811" s="338" t="s">
        <v>4273</v>
      </c>
      <c r="E2811" s="336" t="s">
        <v>477</v>
      </c>
      <c r="F2811" s="338"/>
      <c r="G2811" s="338">
        <v>40</v>
      </c>
      <c r="H2811" s="338" t="s">
        <v>425</v>
      </c>
      <c r="I2811" s="338" t="s">
        <v>411</v>
      </c>
      <c r="J2811" s="339"/>
      <c r="K2811" s="339"/>
      <c r="L2811" s="339" t="s">
        <v>409</v>
      </c>
      <c r="M2811" s="339" t="s">
        <v>409</v>
      </c>
      <c r="N2811" s="338"/>
      <c r="O2811" s="338" t="s">
        <v>409</v>
      </c>
      <c r="P2811" s="338" t="s">
        <v>417</v>
      </c>
    </row>
    <row r="2812" spans="2:16" x14ac:dyDescent="0.25">
      <c r="B2812" s="336" t="s">
        <v>416</v>
      </c>
      <c r="C2812" s="337">
        <v>39573</v>
      </c>
      <c r="D2812" s="338" t="s">
        <v>4272</v>
      </c>
      <c r="E2812" s="336" t="s">
        <v>4271</v>
      </c>
      <c r="F2812" s="338" t="s">
        <v>1900</v>
      </c>
      <c r="G2812" s="338" t="s">
        <v>413</v>
      </c>
      <c r="H2812" s="338" t="s">
        <v>425</v>
      </c>
      <c r="I2812" s="338" t="s">
        <v>411</v>
      </c>
      <c r="J2812" s="339"/>
      <c r="K2812" s="339"/>
      <c r="L2812" s="339">
        <v>0.37517499999999998</v>
      </c>
      <c r="M2812" s="339">
        <v>6.1096700000000004</v>
      </c>
      <c r="N2812" s="338"/>
      <c r="O2812" s="338" t="s">
        <v>410</v>
      </c>
      <c r="P2812" s="338" t="s">
        <v>408</v>
      </c>
    </row>
    <row r="2813" spans="2:16" x14ac:dyDescent="0.25">
      <c r="B2813" s="336" t="s">
        <v>416</v>
      </c>
      <c r="C2813" s="337">
        <v>39573</v>
      </c>
      <c r="D2813" s="338" t="s">
        <v>1261</v>
      </c>
      <c r="E2813" s="336" t="s">
        <v>1525</v>
      </c>
      <c r="F2813" s="338" t="s">
        <v>2444</v>
      </c>
      <c r="G2813" s="338">
        <v>3600</v>
      </c>
      <c r="H2813" s="338" t="s">
        <v>425</v>
      </c>
      <c r="I2813" s="338" t="s">
        <v>411</v>
      </c>
      <c r="J2813" s="339"/>
      <c r="K2813" s="339"/>
      <c r="L2813" s="339">
        <v>0.67408000000000001</v>
      </c>
      <c r="M2813" s="339">
        <v>8.07395</v>
      </c>
      <c r="N2813" s="338"/>
      <c r="O2813" s="338" t="s">
        <v>417</v>
      </c>
      <c r="P2813" s="338" t="s">
        <v>443</v>
      </c>
    </row>
    <row r="2814" spans="2:16" x14ac:dyDescent="0.25">
      <c r="B2814" s="336" t="s">
        <v>416</v>
      </c>
      <c r="C2814" s="337">
        <v>39573</v>
      </c>
      <c r="D2814" s="338" t="s">
        <v>4270</v>
      </c>
      <c r="E2814" s="336" t="s">
        <v>463</v>
      </c>
      <c r="F2814" s="338"/>
      <c r="G2814" s="338" t="s">
        <v>413</v>
      </c>
      <c r="H2814" s="338" t="s">
        <v>425</v>
      </c>
      <c r="I2814" s="338" t="s">
        <v>411</v>
      </c>
      <c r="J2814" s="339"/>
      <c r="K2814" s="339"/>
      <c r="L2814" s="339" t="s">
        <v>409</v>
      </c>
      <c r="M2814" s="339" t="s">
        <v>409</v>
      </c>
      <c r="N2814" s="338"/>
      <c r="O2814" s="338" t="s">
        <v>409</v>
      </c>
      <c r="P2814" s="338" t="s">
        <v>417</v>
      </c>
    </row>
    <row r="2815" spans="2:16" x14ac:dyDescent="0.25">
      <c r="B2815" s="336" t="s">
        <v>416</v>
      </c>
      <c r="C2815" s="337">
        <v>39569</v>
      </c>
      <c r="D2815" s="338" t="s">
        <v>4269</v>
      </c>
      <c r="E2815" s="336" t="s">
        <v>4268</v>
      </c>
      <c r="F2815" s="338" t="s">
        <v>444</v>
      </c>
      <c r="G2815" s="338" t="s">
        <v>413</v>
      </c>
      <c r="H2815" s="338" t="s">
        <v>425</v>
      </c>
      <c r="I2815" s="338" t="s">
        <v>411</v>
      </c>
      <c r="J2815" s="339"/>
      <c r="K2815" s="339"/>
      <c r="L2815" s="339"/>
      <c r="M2815" s="339"/>
      <c r="N2815" s="338"/>
      <c r="O2815" s="338" t="s">
        <v>417</v>
      </c>
      <c r="P2815" s="338" t="s">
        <v>417</v>
      </c>
    </row>
    <row r="2816" spans="2:16" x14ac:dyDescent="0.25">
      <c r="B2816" s="336" t="s">
        <v>416</v>
      </c>
      <c r="C2816" s="337">
        <v>39569</v>
      </c>
      <c r="D2816" s="338" t="s">
        <v>956</v>
      </c>
      <c r="E2816" s="336" t="s">
        <v>3526</v>
      </c>
      <c r="F2816" s="338"/>
      <c r="G2816" s="338" t="s">
        <v>413</v>
      </c>
      <c r="H2816" s="338" t="s">
        <v>425</v>
      </c>
      <c r="I2816" s="338" t="s">
        <v>411</v>
      </c>
      <c r="J2816" s="339"/>
      <c r="K2816" s="339"/>
      <c r="L2816" s="339" t="s">
        <v>409</v>
      </c>
      <c r="M2816" s="339" t="s">
        <v>409</v>
      </c>
      <c r="N2816" s="338"/>
      <c r="O2816" s="338" t="s">
        <v>409</v>
      </c>
      <c r="P2816" s="338" t="s">
        <v>443</v>
      </c>
    </row>
    <row r="2817" spans="2:16" x14ac:dyDescent="0.25">
      <c r="B2817" s="336" t="s">
        <v>416</v>
      </c>
      <c r="C2817" s="337">
        <v>39569</v>
      </c>
      <c r="D2817" s="338" t="s">
        <v>4267</v>
      </c>
      <c r="E2817" s="336" t="s">
        <v>3093</v>
      </c>
      <c r="F2817" s="338"/>
      <c r="G2817" s="338" t="s">
        <v>413</v>
      </c>
      <c r="H2817" s="338" t="s">
        <v>412</v>
      </c>
      <c r="I2817" s="338" t="s">
        <v>411</v>
      </c>
      <c r="J2817" s="339"/>
      <c r="K2817" s="339"/>
      <c r="L2817" s="339" t="s">
        <v>409</v>
      </c>
      <c r="M2817" s="339" t="s">
        <v>409</v>
      </c>
      <c r="N2817" s="338" t="s">
        <v>417</v>
      </c>
      <c r="O2817" s="338" t="s">
        <v>409</v>
      </c>
      <c r="P2817" s="338" t="s">
        <v>417</v>
      </c>
    </row>
    <row r="2818" spans="2:16" x14ac:dyDescent="0.25">
      <c r="B2818" s="336" t="s">
        <v>416</v>
      </c>
      <c r="C2818" s="337">
        <v>39569</v>
      </c>
      <c r="D2818" s="338" t="s">
        <v>4266</v>
      </c>
      <c r="E2818" s="336" t="s">
        <v>4265</v>
      </c>
      <c r="F2818" s="338" t="s">
        <v>444</v>
      </c>
      <c r="G2818" s="338" t="s">
        <v>413</v>
      </c>
      <c r="H2818" s="338" t="s">
        <v>425</v>
      </c>
      <c r="I2818" s="338" t="s">
        <v>411</v>
      </c>
      <c r="J2818" s="339"/>
      <c r="K2818" s="339"/>
      <c r="L2818" s="339"/>
      <c r="M2818" s="339"/>
      <c r="N2818" s="338"/>
      <c r="O2818" s="338" t="s">
        <v>417</v>
      </c>
      <c r="P2818" s="338" t="s">
        <v>417</v>
      </c>
    </row>
    <row r="2819" spans="2:16" x14ac:dyDescent="0.25">
      <c r="B2819" s="336" t="s">
        <v>416</v>
      </c>
      <c r="C2819" s="337">
        <v>39569</v>
      </c>
      <c r="D2819" s="338" t="s">
        <v>4264</v>
      </c>
      <c r="E2819" s="336" t="s">
        <v>573</v>
      </c>
      <c r="F2819" s="338" t="s">
        <v>574</v>
      </c>
      <c r="G2819" s="338">
        <v>60</v>
      </c>
      <c r="H2819" s="338" t="s">
        <v>425</v>
      </c>
      <c r="I2819" s="338" t="s">
        <v>411</v>
      </c>
      <c r="J2819" s="339"/>
      <c r="K2819" s="339"/>
      <c r="L2819" s="339">
        <v>0.52815999999999996</v>
      </c>
      <c r="M2819" s="339">
        <v>5.4611299999999998</v>
      </c>
      <c r="N2819" s="338"/>
      <c r="O2819" s="338" t="s">
        <v>417</v>
      </c>
      <c r="P2819" s="338" t="s">
        <v>432</v>
      </c>
    </row>
    <row r="2820" spans="2:16" x14ac:dyDescent="0.25">
      <c r="B2820" s="336" t="s">
        <v>416</v>
      </c>
      <c r="C2820" s="337">
        <v>39568</v>
      </c>
      <c r="D2820" s="338" t="s">
        <v>4263</v>
      </c>
      <c r="E2820" s="336" t="s">
        <v>4262</v>
      </c>
      <c r="F2820" s="338" t="s">
        <v>4261</v>
      </c>
      <c r="G2820" s="338">
        <v>2.93</v>
      </c>
      <c r="H2820" s="338" t="s">
        <v>425</v>
      </c>
      <c r="I2820" s="338" t="s">
        <v>411</v>
      </c>
      <c r="J2820" s="339"/>
      <c r="K2820" s="339"/>
      <c r="L2820" s="339"/>
      <c r="M2820" s="339"/>
      <c r="N2820" s="338"/>
      <c r="O2820" s="338" t="s">
        <v>410</v>
      </c>
      <c r="P2820" s="338" t="s">
        <v>443</v>
      </c>
    </row>
    <row r="2821" spans="2:16" x14ac:dyDescent="0.25">
      <c r="B2821" s="336" t="s">
        <v>416</v>
      </c>
      <c r="C2821" s="337">
        <v>39568</v>
      </c>
      <c r="D2821" s="338" t="s">
        <v>4260</v>
      </c>
      <c r="E2821" s="336" t="s">
        <v>441</v>
      </c>
      <c r="F2821" s="338" t="s">
        <v>4259</v>
      </c>
      <c r="G2821" s="338" t="s">
        <v>413</v>
      </c>
      <c r="H2821" s="338" t="s">
        <v>425</v>
      </c>
      <c r="I2821" s="338" t="s">
        <v>411</v>
      </c>
      <c r="J2821" s="339"/>
      <c r="K2821" s="339"/>
      <c r="L2821" s="339"/>
      <c r="M2821" s="339"/>
      <c r="N2821" s="338"/>
      <c r="O2821" s="338" t="s">
        <v>410</v>
      </c>
      <c r="P2821" s="338" t="s">
        <v>417</v>
      </c>
    </row>
    <row r="2822" spans="2:16" x14ac:dyDescent="0.25">
      <c r="B2822" s="336" t="s">
        <v>459</v>
      </c>
      <c r="C2822" s="337">
        <v>39568</v>
      </c>
      <c r="D2822" s="338" t="s">
        <v>4258</v>
      </c>
      <c r="E2822" s="336" t="s">
        <v>4257</v>
      </c>
      <c r="F2822" s="338"/>
      <c r="G2822" s="338">
        <v>4.5</v>
      </c>
      <c r="H2822" s="338" t="s">
        <v>425</v>
      </c>
      <c r="I2822" s="338" t="s">
        <v>411</v>
      </c>
      <c r="J2822" s="339"/>
      <c r="K2822" s="339"/>
      <c r="L2822" s="339" t="s">
        <v>409</v>
      </c>
      <c r="M2822" s="339" t="s">
        <v>409</v>
      </c>
      <c r="N2822" s="338" t="s">
        <v>417</v>
      </c>
      <c r="O2822" s="338" t="s">
        <v>409</v>
      </c>
      <c r="P2822" s="338" t="s">
        <v>443</v>
      </c>
    </row>
    <row r="2823" spans="2:16" x14ac:dyDescent="0.25">
      <c r="B2823" s="336" t="s">
        <v>416</v>
      </c>
      <c r="C2823" s="337">
        <v>39566</v>
      </c>
      <c r="D2823" s="338" t="s">
        <v>4256</v>
      </c>
      <c r="E2823" s="336" t="s">
        <v>2688</v>
      </c>
      <c r="F2823" s="338" t="s">
        <v>4255</v>
      </c>
      <c r="G2823" s="338">
        <v>10</v>
      </c>
      <c r="H2823" s="338" t="s">
        <v>425</v>
      </c>
      <c r="I2823" s="338" t="s">
        <v>411</v>
      </c>
      <c r="J2823" s="339"/>
      <c r="K2823" s="339"/>
      <c r="L2823" s="339"/>
      <c r="M2823" s="339"/>
      <c r="N2823" s="338"/>
      <c r="O2823" s="338" t="s">
        <v>417</v>
      </c>
      <c r="P2823" s="338" t="s">
        <v>417</v>
      </c>
    </row>
    <row r="2824" spans="2:16" x14ac:dyDescent="0.25">
      <c r="B2824" s="336" t="s">
        <v>416</v>
      </c>
      <c r="C2824" s="337">
        <v>39566</v>
      </c>
      <c r="D2824" s="338" t="s">
        <v>4254</v>
      </c>
      <c r="E2824" s="336" t="s">
        <v>4253</v>
      </c>
      <c r="F2824" s="338"/>
      <c r="G2824" s="338">
        <v>58.74</v>
      </c>
      <c r="H2824" s="338" t="s">
        <v>425</v>
      </c>
      <c r="I2824" s="338" t="s">
        <v>411</v>
      </c>
      <c r="J2824" s="339">
        <v>0.33859600000000001</v>
      </c>
      <c r="K2824" s="339">
        <v>10.0777</v>
      </c>
      <c r="L2824" s="339" t="s">
        <v>409</v>
      </c>
      <c r="M2824" s="339" t="s">
        <v>409</v>
      </c>
      <c r="N2824" s="338" t="s">
        <v>417</v>
      </c>
      <c r="O2824" s="338" t="s">
        <v>409</v>
      </c>
      <c r="P2824" s="338" t="s">
        <v>443</v>
      </c>
    </row>
    <row r="2825" spans="2:16" x14ac:dyDescent="0.25">
      <c r="B2825" s="336" t="s">
        <v>416</v>
      </c>
      <c r="C2825" s="337">
        <v>39566</v>
      </c>
      <c r="D2825" s="338" t="s">
        <v>4252</v>
      </c>
      <c r="E2825" s="336" t="s">
        <v>3338</v>
      </c>
      <c r="F2825" s="338"/>
      <c r="G2825" s="338" t="s">
        <v>413</v>
      </c>
      <c r="H2825" s="338" t="s">
        <v>412</v>
      </c>
      <c r="I2825" s="338" t="s">
        <v>411</v>
      </c>
      <c r="J2825" s="339"/>
      <c r="K2825" s="339"/>
      <c r="L2825" s="339" t="s">
        <v>409</v>
      </c>
      <c r="M2825" s="339" t="s">
        <v>409</v>
      </c>
      <c r="N2825" s="338" t="s">
        <v>417</v>
      </c>
      <c r="O2825" s="338" t="s">
        <v>409</v>
      </c>
      <c r="P2825" s="338" t="s">
        <v>417</v>
      </c>
    </row>
    <row r="2826" spans="2:16" x14ac:dyDescent="0.25">
      <c r="B2826" s="336" t="s">
        <v>416</v>
      </c>
      <c r="C2826" s="337">
        <v>39562</v>
      </c>
      <c r="D2826" s="338" t="s">
        <v>1855</v>
      </c>
      <c r="E2826" s="336" t="s">
        <v>1249</v>
      </c>
      <c r="F2826" s="338"/>
      <c r="G2826" s="338">
        <v>2861.75</v>
      </c>
      <c r="H2826" s="338" t="s">
        <v>336</v>
      </c>
      <c r="I2826" s="338" t="s">
        <v>411</v>
      </c>
      <c r="J2826" s="339">
        <v>1.1261000000000001</v>
      </c>
      <c r="K2826" s="339">
        <v>8.29068</v>
      </c>
      <c r="L2826" s="339" t="s">
        <v>409</v>
      </c>
      <c r="M2826" s="339" t="s">
        <v>409</v>
      </c>
      <c r="N2826" s="338" t="s">
        <v>417</v>
      </c>
      <c r="O2826" s="338" t="s">
        <v>409</v>
      </c>
      <c r="P2826" s="338" t="s">
        <v>417</v>
      </c>
    </row>
    <row r="2827" spans="2:16" x14ac:dyDescent="0.25">
      <c r="B2827" s="336" t="s">
        <v>416</v>
      </c>
      <c r="C2827" s="337">
        <v>39562</v>
      </c>
      <c r="D2827" s="338" t="s">
        <v>4251</v>
      </c>
      <c r="E2827" s="336" t="s">
        <v>4250</v>
      </c>
      <c r="F2827" s="338" t="s">
        <v>2034</v>
      </c>
      <c r="G2827" s="338">
        <v>4</v>
      </c>
      <c r="H2827" s="338" t="s">
        <v>425</v>
      </c>
      <c r="I2827" s="338" t="s">
        <v>411</v>
      </c>
      <c r="J2827" s="339"/>
      <c r="K2827" s="339"/>
      <c r="L2827" s="339">
        <v>2.5506700000000002</v>
      </c>
      <c r="M2827" s="339">
        <v>15.352600000000001</v>
      </c>
      <c r="N2827" s="338" t="s">
        <v>417</v>
      </c>
      <c r="O2827" s="338" t="s">
        <v>417</v>
      </c>
      <c r="P2827" s="338" t="s">
        <v>543</v>
      </c>
    </row>
    <row r="2828" spans="2:16" x14ac:dyDescent="0.25">
      <c r="B2828" s="336" t="s">
        <v>416</v>
      </c>
      <c r="C2828" s="337">
        <v>39561</v>
      </c>
      <c r="D2828" s="338" t="s">
        <v>4249</v>
      </c>
      <c r="E2828" s="336" t="s">
        <v>4248</v>
      </c>
      <c r="F2828" s="338"/>
      <c r="G2828" s="338" t="s">
        <v>413</v>
      </c>
      <c r="H2828" s="338" t="s">
        <v>412</v>
      </c>
      <c r="I2828" s="338" t="s">
        <v>411</v>
      </c>
      <c r="J2828" s="339"/>
      <c r="K2828" s="339"/>
      <c r="L2828" s="339" t="s">
        <v>409</v>
      </c>
      <c r="M2828" s="339" t="s">
        <v>409</v>
      </c>
      <c r="N2828" s="338" t="s">
        <v>543</v>
      </c>
      <c r="O2828" s="338" t="s">
        <v>409</v>
      </c>
      <c r="P2828" s="338" t="s">
        <v>417</v>
      </c>
    </row>
    <row r="2829" spans="2:16" x14ac:dyDescent="0.25">
      <c r="B2829" s="336" t="s">
        <v>459</v>
      </c>
      <c r="C2829" s="337">
        <v>39560</v>
      </c>
      <c r="D2829" s="338" t="s">
        <v>1543</v>
      </c>
      <c r="E2829" s="336" t="s">
        <v>4247</v>
      </c>
      <c r="F2829" s="338"/>
      <c r="G2829" s="338">
        <v>8</v>
      </c>
      <c r="H2829" s="338" t="s">
        <v>425</v>
      </c>
      <c r="I2829" s="338" t="s">
        <v>411</v>
      </c>
      <c r="J2829" s="339"/>
      <c r="K2829" s="339"/>
      <c r="L2829" s="339" t="s">
        <v>409</v>
      </c>
      <c r="M2829" s="339" t="s">
        <v>409</v>
      </c>
      <c r="N2829" s="338" t="s">
        <v>417</v>
      </c>
      <c r="O2829" s="338" t="s">
        <v>409</v>
      </c>
      <c r="P2829" s="338"/>
    </row>
    <row r="2830" spans="2:16" x14ac:dyDescent="0.25">
      <c r="B2830" s="336" t="s">
        <v>416</v>
      </c>
      <c r="C2830" s="337">
        <v>39559</v>
      </c>
      <c r="D2830" s="338" t="s">
        <v>4246</v>
      </c>
      <c r="E2830" s="336" t="s">
        <v>3526</v>
      </c>
      <c r="F2830" s="338"/>
      <c r="G2830" s="338" t="s">
        <v>413</v>
      </c>
      <c r="H2830" s="338" t="s">
        <v>425</v>
      </c>
      <c r="I2830" s="338" t="s">
        <v>411</v>
      </c>
      <c r="J2830" s="339"/>
      <c r="K2830" s="339"/>
      <c r="L2830" s="339" t="s">
        <v>409</v>
      </c>
      <c r="M2830" s="339" t="s">
        <v>409</v>
      </c>
      <c r="N2830" s="338"/>
      <c r="O2830" s="338" t="s">
        <v>409</v>
      </c>
      <c r="P2830" s="338" t="s">
        <v>443</v>
      </c>
    </row>
    <row r="2831" spans="2:16" x14ac:dyDescent="0.25">
      <c r="B2831" s="336" t="s">
        <v>459</v>
      </c>
      <c r="C2831" s="337">
        <v>39559</v>
      </c>
      <c r="D2831" s="338" t="s">
        <v>3686</v>
      </c>
      <c r="E2831" s="336" t="s">
        <v>4245</v>
      </c>
      <c r="F2831" s="338"/>
      <c r="G2831" s="338" t="s">
        <v>413</v>
      </c>
      <c r="H2831" s="338" t="s">
        <v>412</v>
      </c>
      <c r="I2831" s="338" t="s">
        <v>411</v>
      </c>
      <c r="J2831" s="339"/>
      <c r="K2831" s="339"/>
      <c r="L2831" s="339" t="s">
        <v>409</v>
      </c>
      <c r="M2831" s="339" t="s">
        <v>409</v>
      </c>
      <c r="N2831" s="338" t="s">
        <v>432</v>
      </c>
      <c r="O2831" s="338" t="s">
        <v>409</v>
      </c>
      <c r="P2831" s="338" t="s">
        <v>432</v>
      </c>
    </row>
    <row r="2832" spans="2:16" x14ac:dyDescent="0.25">
      <c r="B2832" s="336" t="s">
        <v>1441</v>
      </c>
      <c r="C2832" s="337">
        <v>39558</v>
      </c>
      <c r="D2832" s="338" t="s">
        <v>1203</v>
      </c>
      <c r="E2832" s="336" t="s">
        <v>1644</v>
      </c>
      <c r="F2832" s="338"/>
      <c r="G2832" s="338" t="s">
        <v>413</v>
      </c>
      <c r="H2832" s="338" t="s">
        <v>412</v>
      </c>
      <c r="I2832" s="338" t="s">
        <v>411</v>
      </c>
      <c r="J2832" s="339">
        <v>1.88785</v>
      </c>
      <c r="K2832" s="339">
        <v>4.0728</v>
      </c>
      <c r="L2832" s="339" t="s">
        <v>409</v>
      </c>
      <c r="M2832" s="339" t="s">
        <v>409</v>
      </c>
      <c r="N2832" s="338" t="s">
        <v>417</v>
      </c>
      <c r="O2832" s="338" t="s">
        <v>409</v>
      </c>
      <c r="P2832" s="338" t="s">
        <v>432</v>
      </c>
    </row>
    <row r="2833" spans="2:16" x14ac:dyDescent="0.25">
      <c r="B2833" s="336" t="s">
        <v>416</v>
      </c>
      <c r="C2833" s="337">
        <v>39556</v>
      </c>
      <c r="D2833" s="338" t="s">
        <v>2616</v>
      </c>
      <c r="E2833" s="336" t="s">
        <v>3526</v>
      </c>
      <c r="F2833" s="338"/>
      <c r="G2833" s="338">
        <v>11.7</v>
      </c>
      <c r="H2833" s="338" t="s">
        <v>425</v>
      </c>
      <c r="I2833" s="338" t="s">
        <v>411</v>
      </c>
      <c r="J2833" s="339"/>
      <c r="K2833" s="339"/>
      <c r="L2833" s="339" t="s">
        <v>409</v>
      </c>
      <c r="M2833" s="339" t="s">
        <v>409</v>
      </c>
      <c r="N2833" s="338" t="s">
        <v>417</v>
      </c>
      <c r="O2833" s="338" t="s">
        <v>409</v>
      </c>
      <c r="P2833" s="338" t="s">
        <v>443</v>
      </c>
    </row>
    <row r="2834" spans="2:16" x14ac:dyDescent="0.25">
      <c r="B2834" s="336" t="s">
        <v>416</v>
      </c>
      <c r="C2834" s="337">
        <v>39556</v>
      </c>
      <c r="D2834" s="338" t="s">
        <v>4244</v>
      </c>
      <c r="E2834" s="336" t="s">
        <v>485</v>
      </c>
      <c r="F2834" s="338" t="s">
        <v>4243</v>
      </c>
      <c r="G2834" s="338">
        <v>19.13</v>
      </c>
      <c r="H2834" s="338" t="s">
        <v>780</v>
      </c>
      <c r="I2834" s="338" t="s">
        <v>411</v>
      </c>
      <c r="J2834" s="339"/>
      <c r="K2834" s="339"/>
      <c r="L2834" s="339"/>
      <c r="M2834" s="339"/>
      <c r="N2834" s="338"/>
      <c r="O2834" s="338" t="s">
        <v>417</v>
      </c>
      <c r="P2834" s="338" t="s">
        <v>417</v>
      </c>
    </row>
    <row r="2835" spans="2:16" x14ac:dyDescent="0.25">
      <c r="B2835" s="336" t="s">
        <v>416</v>
      </c>
      <c r="C2835" s="337">
        <v>39554</v>
      </c>
      <c r="D2835" s="338" t="s">
        <v>4242</v>
      </c>
      <c r="E2835" s="336" t="s">
        <v>4241</v>
      </c>
      <c r="F2835" s="338"/>
      <c r="G2835" s="338" t="s">
        <v>413</v>
      </c>
      <c r="H2835" s="338" t="s">
        <v>425</v>
      </c>
      <c r="I2835" s="338" t="s">
        <v>411</v>
      </c>
      <c r="J2835" s="339"/>
      <c r="K2835" s="339"/>
      <c r="L2835" s="339" t="s">
        <v>409</v>
      </c>
      <c r="M2835" s="339" t="s">
        <v>409</v>
      </c>
      <c r="N2835" s="338"/>
      <c r="O2835" s="338" t="s">
        <v>409</v>
      </c>
      <c r="P2835" s="338" t="s">
        <v>487</v>
      </c>
    </row>
    <row r="2836" spans="2:16" x14ac:dyDescent="0.25">
      <c r="B2836" s="336" t="s">
        <v>416</v>
      </c>
      <c r="C2836" s="337">
        <v>39554</v>
      </c>
      <c r="D2836" s="338" t="s">
        <v>4240</v>
      </c>
      <c r="E2836" s="336" t="s">
        <v>485</v>
      </c>
      <c r="F2836" s="338"/>
      <c r="G2836" s="338">
        <v>1.1599999999999999</v>
      </c>
      <c r="H2836" s="338" t="s">
        <v>429</v>
      </c>
      <c r="I2836" s="338" t="s">
        <v>411</v>
      </c>
      <c r="J2836" s="339"/>
      <c r="K2836" s="339"/>
      <c r="L2836" s="339" t="s">
        <v>409</v>
      </c>
      <c r="M2836" s="339" t="s">
        <v>409</v>
      </c>
      <c r="N2836" s="338" t="s">
        <v>432</v>
      </c>
      <c r="O2836" s="338" t="s">
        <v>409</v>
      </c>
      <c r="P2836" s="338" t="s">
        <v>417</v>
      </c>
    </row>
    <row r="2837" spans="2:16" x14ac:dyDescent="0.25">
      <c r="B2837" s="336" t="s">
        <v>459</v>
      </c>
      <c r="C2837" s="337">
        <v>39553</v>
      </c>
      <c r="D2837" s="338" t="s">
        <v>4239</v>
      </c>
      <c r="E2837" s="336" t="s">
        <v>2090</v>
      </c>
      <c r="F2837" s="338"/>
      <c r="G2837" s="338" t="s">
        <v>413</v>
      </c>
      <c r="H2837" s="338" t="s">
        <v>412</v>
      </c>
      <c r="I2837" s="338" t="s">
        <v>411</v>
      </c>
      <c r="J2837" s="339"/>
      <c r="K2837" s="339"/>
      <c r="L2837" s="339" t="s">
        <v>409</v>
      </c>
      <c r="M2837" s="339" t="s">
        <v>409</v>
      </c>
      <c r="N2837" s="338" t="s">
        <v>410</v>
      </c>
      <c r="O2837" s="338" t="s">
        <v>409</v>
      </c>
      <c r="P2837" s="338" t="s">
        <v>417</v>
      </c>
    </row>
    <row r="2838" spans="2:16" x14ac:dyDescent="0.25">
      <c r="B2838" s="336" t="s">
        <v>459</v>
      </c>
      <c r="C2838" s="337">
        <v>39553</v>
      </c>
      <c r="D2838" s="338" t="s">
        <v>4238</v>
      </c>
      <c r="E2838" s="336" t="s">
        <v>4237</v>
      </c>
      <c r="F2838" s="338"/>
      <c r="G2838" s="338" t="s">
        <v>413</v>
      </c>
      <c r="H2838" s="338" t="s">
        <v>412</v>
      </c>
      <c r="I2838" s="338" t="s">
        <v>411</v>
      </c>
      <c r="J2838" s="339"/>
      <c r="K2838" s="339"/>
      <c r="L2838" s="339" t="s">
        <v>409</v>
      </c>
      <c r="M2838" s="339" t="s">
        <v>409</v>
      </c>
      <c r="N2838" s="338" t="s">
        <v>417</v>
      </c>
      <c r="O2838" s="338" t="s">
        <v>409</v>
      </c>
      <c r="P2838" s="338" t="s">
        <v>417</v>
      </c>
    </row>
    <row r="2839" spans="2:16" x14ac:dyDescent="0.25">
      <c r="B2839" s="336" t="s">
        <v>416</v>
      </c>
      <c r="C2839" s="337">
        <v>39549</v>
      </c>
      <c r="D2839" s="338" t="s">
        <v>4236</v>
      </c>
      <c r="E2839" s="336" t="s">
        <v>4235</v>
      </c>
      <c r="F2839" s="338"/>
      <c r="G2839" s="338" t="s">
        <v>413</v>
      </c>
      <c r="H2839" s="338" t="s">
        <v>412</v>
      </c>
      <c r="I2839" s="338" t="s">
        <v>411</v>
      </c>
      <c r="J2839" s="339"/>
      <c r="K2839" s="339"/>
      <c r="L2839" s="339" t="s">
        <v>409</v>
      </c>
      <c r="M2839" s="339" t="s">
        <v>409</v>
      </c>
      <c r="N2839" s="338" t="s">
        <v>417</v>
      </c>
      <c r="O2839" s="338" t="s">
        <v>409</v>
      </c>
      <c r="P2839" s="338"/>
    </row>
    <row r="2840" spans="2:16" x14ac:dyDescent="0.25">
      <c r="B2840" s="336" t="s">
        <v>416</v>
      </c>
      <c r="C2840" s="337">
        <v>39549</v>
      </c>
      <c r="D2840" s="338" t="s">
        <v>4234</v>
      </c>
      <c r="E2840" s="336" t="s">
        <v>4233</v>
      </c>
      <c r="F2840" s="338"/>
      <c r="G2840" s="338" t="s">
        <v>413</v>
      </c>
      <c r="H2840" s="338" t="s">
        <v>412</v>
      </c>
      <c r="I2840" s="338" t="s">
        <v>411</v>
      </c>
      <c r="J2840" s="339"/>
      <c r="K2840" s="339"/>
      <c r="L2840" s="339" t="s">
        <v>409</v>
      </c>
      <c r="M2840" s="339" t="s">
        <v>409</v>
      </c>
      <c r="N2840" s="338" t="s">
        <v>410</v>
      </c>
      <c r="O2840" s="338" t="s">
        <v>409</v>
      </c>
      <c r="P2840" s="338" t="s">
        <v>410</v>
      </c>
    </row>
    <row r="2841" spans="2:16" x14ac:dyDescent="0.25">
      <c r="B2841" s="336" t="s">
        <v>416</v>
      </c>
      <c r="C2841" s="337">
        <v>39549</v>
      </c>
      <c r="D2841" s="338" t="s">
        <v>956</v>
      </c>
      <c r="E2841" s="336" t="s">
        <v>3570</v>
      </c>
      <c r="F2841" s="338" t="s">
        <v>4232</v>
      </c>
      <c r="G2841" s="338">
        <v>14.3</v>
      </c>
      <c r="H2841" s="338" t="s">
        <v>425</v>
      </c>
      <c r="I2841" s="338" t="s">
        <v>411</v>
      </c>
      <c r="J2841" s="339"/>
      <c r="K2841" s="339"/>
      <c r="L2841" s="339">
        <v>0.70082</v>
      </c>
      <c r="M2841" s="339">
        <v>6.0186700000000002</v>
      </c>
      <c r="N2841" s="338"/>
      <c r="O2841" s="338" t="s">
        <v>417</v>
      </c>
      <c r="P2841" s="338" t="s">
        <v>417</v>
      </c>
    </row>
    <row r="2842" spans="2:16" x14ac:dyDescent="0.25">
      <c r="B2842" s="336" t="s">
        <v>416</v>
      </c>
      <c r="C2842" s="337">
        <v>39548</v>
      </c>
      <c r="D2842" s="338" t="s">
        <v>4231</v>
      </c>
      <c r="E2842" s="336" t="s">
        <v>4230</v>
      </c>
      <c r="F2842" s="338"/>
      <c r="G2842" s="338" t="s">
        <v>413</v>
      </c>
      <c r="H2842" s="338" t="s">
        <v>336</v>
      </c>
      <c r="I2842" s="338" t="s">
        <v>411</v>
      </c>
      <c r="J2842" s="339"/>
      <c r="K2842" s="339"/>
      <c r="L2842" s="339" t="s">
        <v>409</v>
      </c>
      <c r="M2842" s="339" t="s">
        <v>409</v>
      </c>
      <c r="N2842" s="338" t="s">
        <v>417</v>
      </c>
      <c r="O2842" s="338" t="s">
        <v>409</v>
      </c>
      <c r="P2842" s="338" t="s">
        <v>410</v>
      </c>
    </row>
    <row r="2843" spans="2:16" x14ac:dyDescent="0.25">
      <c r="B2843" s="336" t="s">
        <v>416</v>
      </c>
      <c r="C2843" s="337">
        <v>39547</v>
      </c>
      <c r="D2843" s="338" t="s">
        <v>4229</v>
      </c>
      <c r="E2843" s="336" t="s">
        <v>2438</v>
      </c>
      <c r="F2843" s="338"/>
      <c r="G2843" s="338" t="s">
        <v>413</v>
      </c>
      <c r="H2843" s="338" t="s">
        <v>425</v>
      </c>
      <c r="I2843" s="338" t="s">
        <v>411</v>
      </c>
      <c r="J2843" s="339"/>
      <c r="K2843" s="339"/>
      <c r="L2843" s="339" t="s">
        <v>409</v>
      </c>
      <c r="M2843" s="339" t="s">
        <v>409</v>
      </c>
      <c r="N2843" s="338" t="s">
        <v>410</v>
      </c>
      <c r="O2843" s="338" t="s">
        <v>409</v>
      </c>
      <c r="P2843" s="338" t="s">
        <v>443</v>
      </c>
    </row>
    <row r="2844" spans="2:16" x14ac:dyDescent="0.25">
      <c r="B2844" s="336" t="s">
        <v>416</v>
      </c>
      <c r="C2844" s="337">
        <v>39546</v>
      </c>
      <c r="D2844" s="338" t="s">
        <v>4228</v>
      </c>
      <c r="E2844" s="336" t="s">
        <v>4227</v>
      </c>
      <c r="F2844" s="338" t="s">
        <v>1843</v>
      </c>
      <c r="G2844" s="338" t="s">
        <v>413</v>
      </c>
      <c r="H2844" s="338" t="s">
        <v>412</v>
      </c>
      <c r="I2844" s="338" t="s">
        <v>411</v>
      </c>
      <c r="J2844" s="339"/>
      <c r="K2844" s="339"/>
      <c r="L2844" s="339">
        <v>15.8407</v>
      </c>
      <c r="M2844" s="339"/>
      <c r="N2844" s="338" t="s">
        <v>417</v>
      </c>
      <c r="O2844" s="338" t="s">
        <v>417</v>
      </c>
      <c r="P2844" s="338" t="s">
        <v>417</v>
      </c>
    </row>
    <row r="2845" spans="2:16" x14ac:dyDescent="0.25">
      <c r="B2845" s="336" t="s">
        <v>416</v>
      </c>
      <c r="C2845" s="337">
        <v>39546</v>
      </c>
      <c r="D2845" s="338" t="s">
        <v>4226</v>
      </c>
      <c r="E2845" s="336" t="s">
        <v>4225</v>
      </c>
      <c r="F2845" s="338" t="s">
        <v>4224</v>
      </c>
      <c r="G2845" s="338">
        <v>7.5</v>
      </c>
      <c r="H2845" s="338" t="s">
        <v>425</v>
      </c>
      <c r="I2845" s="338" t="s">
        <v>411</v>
      </c>
      <c r="J2845" s="339"/>
      <c r="K2845" s="339"/>
      <c r="L2845" s="339">
        <v>2.81338</v>
      </c>
      <c r="M2845" s="339">
        <v>28.3843</v>
      </c>
      <c r="N2845" s="338"/>
      <c r="O2845" s="338" t="s">
        <v>417</v>
      </c>
      <c r="P2845" s="338" t="s">
        <v>543</v>
      </c>
    </row>
    <row r="2846" spans="2:16" x14ac:dyDescent="0.25">
      <c r="B2846" s="336" t="s">
        <v>416</v>
      </c>
      <c r="C2846" s="337">
        <v>39545</v>
      </c>
      <c r="D2846" s="338" t="s">
        <v>4223</v>
      </c>
      <c r="E2846" s="336" t="s">
        <v>4222</v>
      </c>
      <c r="F2846" s="338"/>
      <c r="G2846" s="338" t="s">
        <v>413</v>
      </c>
      <c r="H2846" s="338" t="s">
        <v>412</v>
      </c>
      <c r="I2846" s="338" t="s">
        <v>411</v>
      </c>
      <c r="J2846" s="339"/>
      <c r="K2846" s="339"/>
      <c r="L2846" s="339" t="s">
        <v>409</v>
      </c>
      <c r="M2846" s="339" t="s">
        <v>409</v>
      </c>
      <c r="N2846" s="338" t="s">
        <v>417</v>
      </c>
      <c r="O2846" s="338" t="s">
        <v>409</v>
      </c>
      <c r="P2846" s="338" t="s">
        <v>417</v>
      </c>
    </row>
    <row r="2847" spans="2:16" x14ac:dyDescent="0.25">
      <c r="B2847" s="336" t="s">
        <v>416</v>
      </c>
      <c r="C2847" s="337">
        <v>39542</v>
      </c>
      <c r="D2847" s="338" t="s">
        <v>2679</v>
      </c>
      <c r="E2847" s="336" t="s">
        <v>485</v>
      </c>
      <c r="F2847" s="338"/>
      <c r="G2847" s="338">
        <v>1.47</v>
      </c>
      <c r="H2847" s="338" t="s">
        <v>429</v>
      </c>
      <c r="I2847" s="338" t="s">
        <v>411</v>
      </c>
      <c r="J2847" s="339"/>
      <c r="K2847" s="339"/>
      <c r="L2847" s="339" t="s">
        <v>409</v>
      </c>
      <c r="M2847" s="339" t="s">
        <v>409</v>
      </c>
      <c r="N2847" s="338" t="s">
        <v>417</v>
      </c>
      <c r="O2847" s="338" t="s">
        <v>409</v>
      </c>
      <c r="P2847" s="338" t="s">
        <v>417</v>
      </c>
    </row>
    <row r="2848" spans="2:16" x14ac:dyDescent="0.25">
      <c r="B2848" s="336" t="s">
        <v>416</v>
      </c>
      <c r="C2848" s="337">
        <v>39541</v>
      </c>
      <c r="D2848" s="338" t="s">
        <v>4221</v>
      </c>
      <c r="E2848" s="336" t="s">
        <v>925</v>
      </c>
      <c r="F2848" s="338" t="s">
        <v>2711</v>
      </c>
      <c r="G2848" s="338">
        <v>12.8</v>
      </c>
      <c r="H2848" s="338" t="s">
        <v>425</v>
      </c>
      <c r="I2848" s="338" t="s">
        <v>411</v>
      </c>
      <c r="J2848" s="339"/>
      <c r="K2848" s="339"/>
      <c r="L2848" s="339">
        <v>0.46472999999999998</v>
      </c>
      <c r="M2848" s="339">
        <v>12.960800000000001</v>
      </c>
      <c r="N2848" s="338"/>
      <c r="O2848" s="338" t="s">
        <v>410</v>
      </c>
      <c r="P2848" s="338" t="s">
        <v>417</v>
      </c>
    </row>
    <row r="2849" spans="2:16" x14ac:dyDescent="0.25">
      <c r="B2849" s="336" t="s">
        <v>416</v>
      </c>
      <c r="C2849" s="337">
        <v>39541</v>
      </c>
      <c r="D2849" s="338" t="s">
        <v>2297</v>
      </c>
      <c r="E2849" s="336" t="s">
        <v>4220</v>
      </c>
      <c r="F2849" s="338" t="s">
        <v>468</v>
      </c>
      <c r="G2849" s="338">
        <v>15.8</v>
      </c>
      <c r="H2849" s="338" t="s">
        <v>425</v>
      </c>
      <c r="I2849" s="338" t="s">
        <v>411</v>
      </c>
      <c r="J2849" s="339">
        <v>0.16968800000000001</v>
      </c>
      <c r="K2849" s="339"/>
      <c r="L2849" s="339"/>
      <c r="M2849" s="339"/>
      <c r="N2849" s="338" t="s">
        <v>417</v>
      </c>
      <c r="O2849" s="338" t="s">
        <v>443</v>
      </c>
      <c r="P2849" s="338" t="s">
        <v>417</v>
      </c>
    </row>
    <row r="2850" spans="2:16" x14ac:dyDescent="0.25">
      <c r="B2850" s="336" t="s">
        <v>416</v>
      </c>
      <c r="C2850" s="337">
        <v>39541</v>
      </c>
      <c r="D2850" s="338" t="s">
        <v>4219</v>
      </c>
      <c r="E2850" s="336" t="s">
        <v>4218</v>
      </c>
      <c r="F2850" s="338" t="s">
        <v>4217</v>
      </c>
      <c r="G2850" s="338" t="s">
        <v>413</v>
      </c>
      <c r="H2850" s="338" t="s">
        <v>425</v>
      </c>
      <c r="I2850" s="338" t="s">
        <v>411</v>
      </c>
      <c r="J2850" s="339"/>
      <c r="K2850" s="339"/>
      <c r="L2850" s="339"/>
      <c r="M2850" s="339"/>
      <c r="N2850" s="338" t="s">
        <v>417</v>
      </c>
      <c r="O2850" s="338" t="s">
        <v>443</v>
      </c>
      <c r="P2850" s="338" t="s">
        <v>443</v>
      </c>
    </row>
    <row r="2851" spans="2:16" x14ac:dyDescent="0.25">
      <c r="B2851" s="336" t="s">
        <v>416</v>
      </c>
      <c r="C2851" s="337">
        <v>39540</v>
      </c>
      <c r="D2851" s="338" t="s">
        <v>956</v>
      </c>
      <c r="E2851" s="336" t="s">
        <v>4216</v>
      </c>
      <c r="F2851" s="338" t="s">
        <v>4215</v>
      </c>
      <c r="G2851" s="338">
        <v>6.25</v>
      </c>
      <c r="H2851" s="338" t="s">
        <v>425</v>
      </c>
      <c r="I2851" s="338" t="s">
        <v>411</v>
      </c>
      <c r="J2851" s="339"/>
      <c r="K2851" s="339"/>
      <c r="L2851" s="339"/>
      <c r="M2851" s="339"/>
      <c r="N2851" s="338"/>
      <c r="O2851" s="338" t="s">
        <v>417</v>
      </c>
      <c r="P2851" s="338" t="s">
        <v>417</v>
      </c>
    </row>
    <row r="2852" spans="2:16" x14ac:dyDescent="0.25">
      <c r="B2852" s="336" t="s">
        <v>416</v>
      </c>
      <c r="C2852" s="337">
        <v>39539</v>
      </c>
      <c r="D2852" s="338" t="s">
        <v>4214</v>
      </c>
      <c r="E2852" s="336" t="s">
        <v>1550</v>
      </c>
      <c r="F2852" s="338" t="s">
        <v>2979</v>
      </c>
      <c r="G2852" s="338">
        <v>380</v>
      </c>
      <c r="H2852" s="338" t="s">
        <v>425</v>
      </c>
      <c r="I2852" s="338" t="s">
        <v>411</v>
      </c>
      <c r="J2852" s="339"/>
      <c r="K2852" s="339"/>
      <c r="L2852" s="339"/>
      <c r="M2852" s="339"/>
      <c r="N2852" s="338" t="s">
        <v>410</v>
      </c>
      <c r="O2852" s="338" t="s">
        <v>487</v>
      </c>
      <c r="P2852" s="338" t="s">
        <v>410</v>
      </c>
    </row>
    <row r="2853" spans="2:16" x14ac:dyDescent="0.25">
      <c r="B2853" s="336" t="s">
        <v>416</v>
      </c>
      <c r="C2853" s="337">
        <v>39539</v>
      </c>
      <c r="D2853" s="338" t="s">
        <v>4213</v>
      </c>
      <c r="E2853" s="336" t="s">
        <v>4212</v>
      </c>
      <c r="F2853" s="338"/>
      <c r="G2853" s="338" t="s">
        <v>413</v>
      </c>
      <c r="H2853" s="338" t="s">
        <v>412</v>
      </c>
      <c r="I2853" s="338" t="s">
        <v>411</v>
      </c>
      <c r="J2853" s="339"/>
      <c r="K2853" s="339"/>
      <c r="L2853" s="339" t="s">
        <v>409</v>
      </c>
      <c r="M2853" s="339" t="s">
        <v>409</v>
      </c>
      <c r="N2853" s="338" t="s">
        <v>417</v>
      </c>
      <c r="O2853" s="338" t="s">
        <v>409</v>
      </c>
      <c r="P2853" s="338" t="s">
        <v>417</v>
      </c>
    </row>
    <row r="2854" spans="2:16" x14ac:dyDescent="0.25">
      <c r="B2854" s="336" t="s">
        <v>416</v>
      </c>
      <c r="C2854" s="337">
        <v>39539</v>
      </c>
      <c r="D2854" s="338" t="s">
        <v>4211</v>
      </c>
      <c r="E2854" s="336" t="s">
        <v>4209</v>
      </c>
      <c r="F2854" s="338"/>
      <c r="G2854" s="338">
        <v>47</v>
      </c>
      <c r="H2854" s="338" t="s">
        <v>425</v>
      </c>
      <c r="I2854" s="338" t="s">
        <v>411</v>
      </c>
      <c r="J2854" s="339"/>
      <c r="K2854" s="339"/>
      <c r="L2854" s="339" t="s">
        <v>409</v>
      </c>
      <c r="M2854" s="339" t="s">
        <v>409</v>
      </c>
      <c r="N2854" s="338" t="s">
        <v>417</v>
      </c>
      <c r="O2854" s="338" t="s">
        <v>409</v>
      </c>
      <c r="P2854" s="338" t="s">
        <v>410</v>
      </c>
    </row>
    <row r="2855" spans="2:16" x14ac:dyDescent="0.25">
      <c r="B2855" s="336" t="s">
        <v>416</v>
      </c>
      <c r="C2855" s="337">
        <v>39539</v>
      </c>
      <c r="D2855" s="338" t="s">
        <v>1154</v>
      </c>
      <c r="E2855" s="336" t="s">
        <v>2795</v>
      </c>
      <c r="F2855" s="338" t="s">
        <v>1153</v>
      </c>
      <c r="G2855" s="338" t="s">
        <v>413</v>
      </c>
      <c r="H2855" s="338" t="s">
        <v>412</v>
      </c>
      <c r="I2855" s="338" t="s">
        <v>411</v>
      </c>
      <c r="J2855" s="339"/>
      <c r="K2855" s="339"/>
      <c r="L2855" s="339"/>
      <c r="M2855" s="339"/>
      <c r="N2855" s="338" t="s">
        <v>417</v>
      </c>
      <c r="O2855" s="338" t="s">
        <v>443</v>
      </c>
      <c r="P2855" s="338" t="s">
        <v>443</v>
      </c>
    </row>
    <row r="2856" spans="2:16" x14ac:dyDescent="0.25">
      <c r="B2856" s="336" t="s">
        <v>416</v>
      </c>
      <c r="C2856" s="337">
        <v>39539</v>
      </c>
      <c r="D2856" s="338" t="s">
        <v>4210</v>
      </c>
      <c r="E2856" s="336" t="s">
        <v>4209</v>
      </c>
      <c r="F2856" s="338"/>
      <c r="G2856" s="338">
        <v>16</v>
      </c>
      <c r="H2856" s="338" t="s">
        <v>425</v>
      </c>
      <c r="I2856" s="338" t="s">
        <v>411</v>
      </c>
      <c r="J2856" s="339"/>
      <c r="K2856" s="339"/>
      <c r="L2856" s="339" t="s">
        <v>409</v>
      </c>
      <c r="M2856" s="339" t="s">
        <v>409</v>
      </c>
      <c r="N2856" s="338" t="s">
        <v>417</v>
      </c>
      <c r="O2856" s="338" t="s">
        <v>409</v>
      </c>
      <c r="P2856" s="338" t="s">
        <v>410</v>
      </c>
    </row>
    <row r="2857" spans="2:16" x14ac:dyDescent="0.25">
      <c r="B2857" s="336" t="s">
        <v>416</v>
      </c>
      <c r="C2857" s="337">
        <v>39538</v>
      </c>
      <c r="D2857" s="338" t="s">
        <v>4208</v>
      </c>
      <c r="E2857" s="336" t="s">
        <v>3360</v>
      </c>
      <c r="F2857" s="338"/>
      <c r="G2857" s="338" t="s">
        <v>413</v>
      </c>
      <c r="H2857" s="338" t="s">
        <v>412</v>
      </c>
      <c r="I2857" s="338" t="s">
        <v>411</v>
      </c>
      <c r="J2857" s="339"/>
      <c r="K2857" s="339"/>
      <c r="L2857" s="339" t="s">
        <v>409</v>
      </c>
      <c r="M2857" s="339" t="s">
        <v>409</v>
      </c>
      <c r="N2857" s="338"/>
      <c r="O2857" s="338" t="s">
        <v>409</v>
      </c>
      <c r="P2857" s="338" t="s">
        <v>410</v>
      </c>
    </row>
    <row r="2858" spans="2:16" x14ac:dyDescent="0.25">
      <c r="B2858" s="336" t="s">
        <v>416</v>
      </c>
      <c r="C2858" s="337">
        <v>39538</v>
      </c>
      <c r="D2858" s="338" t="s">
        <v>4207</v>
      </c>
      <c r="E2858" s="336" t="s">
        <v>3441</v>
      </c>
      <c r="F2858" s="338"/>
      <c r="G2858" s="338" t="s">
        <v>413</v>
      </c>
      <c r="H2858" s="338" t="s">
        <v>412</v>
      </c>
      <c r="I2858" s="338" t="s">
        <v>411</v>
      </c>
      <c r="J2858" s="339"/>
      <c r="K2858" s="339"/>
      <c r="L2858" s="339" t="s">
        <v>409</v>
      </c>
      <c r="M2858" s="339" t="s">
        <v>409</v>
      </c>
      <c r="N2858" s="338" t="s">
        <v>487</v>
      </c>
      <c r="O2858" s="338" t="s">
        <v>409</v>
      </c>
      <c r="P2858" s="338" t="s">
        <v>417</v>
      </c>
    </row>
    <row r="2859" spans="2:16" x14ac:dyDescent="0.25">
      <c r="B2859" s="336" t="s">
        <v>416</v>
      </c>
      <c r="C2859" s="337">
        <v>39538</v>
      </c>
      <c r="D2859" s="338" t="s">
        <v>4206</v>
      </c>
      <c r="E2859" s="336" t="s">
        <v>4205</v>
      </c>
      <c r="F2859" s="338" t="s">
        <v>4204</v>
      </c>
      <c r="G2859" s="338">
        <v>2.2000000000000002</v>
      </c>
      <c r="H2859" s="338" t="s">
        <v>425</v>
      </c>
      <c r="I2859" s="338" t="s">
        <v>411</v>
      </c>
      <c r="J2859" s="339"/>
      <c r="K2859" s="339"/>
      <c r="L2859" s="339"/>
      <c r="M2859" s="339"/>
      <c r="N2859" s="338"/>
      <c r="O2859" s="338" t="s">
        <v>410</v>
      </c>
      <c r="P2859" s="338" t="s">
        <v>417</v>
      </c>
    </row>
    <row r="2860" spans="2:16" x14ac:dyDescent="0.25">
      <c r="B2860" s="336" t="s">
        <v>416</v>
      </c>
      <c r="C2860" s="337">
        <v>39538</v>
      </c>
      <c r="D2860" s="338" t="s">
        <v>4203</v>
      </c>
      <c r="E2860" s="336" t="s">
        <v>4202</v>
      </c>
      <c r="F2860" s="338"/>
      <c r="G2860" s="338" t="s">
        <v>413</v>
      </c>
      <c r="H2860" s="338" t="s">
        <v>425</v>
      </c>
      <c r="I2860" s="338" t="s">
        <v>411</v>
      </c>
      <c r="J2860" s="339"/>
      <c r="K2860" s="339"/>
      <c r="L2860" s="339" t="s">
        <v>409</v>
      </c>
      <c r="M2860" s="339" t="s">
        <v>409</v>
      </c>
      <c r="N2860" s="338" t="s">
        <v>417</v>
      </c>
      <c r="O2860" s="338" t="s">
        <v>409</v>
      </c>
      <c r="P2860" s="338"/>
    </row>
    <row r="2861" spans="2:16" x14ac:dyDescent="0.25">
      <c r="B2861" s="336" t="s">
        <v>416</v>
      </c>
      <c r="C2861" s="337">
        <v>39535</v>
      </c>
      <c r="D2861" s="338" t="s">
        <v>956</v>
      </c>
      <c r="E2861" s="336" t="s">
        <v>3857</v>
      </c>
      <c r="F2861" s="338" t="s">
        <v>4201</v>
      </c>
      <c r="G2861" s="338">
        <v>104</v>
      </c>
      <c r="H2861" s="338" t="s">
        <v>425</v>
      </c>
      <c r="I2861" s="338" t="s">
        <v>411</v>
      </c>
      <c r="J2861" s="339"/>
      <c r="K2861" s="339"/>
      <c r="L2861" s="339"/>
      <c r="M2861" s="339"/>
      <c r="N2861" s="338"/>
      <c r="O2861" s="338" t="s">
        <v>417</v>
      </c>
      <c r="P2861" s="338" t="s">
        <v>417</v>
      </c>
    </row>
    <row r="2862" spans="2:16" x14ac:dyDescent="0.25">
      <c r="B2862" s="336" t="s">
        <v>416</v>
      </c>
      <c r="C2862" s="337">
        <v>39535</v>
      </c>
      <c r="D2862" s="338" t="s">
        <v>4200</v>
      </c>
      <c r="E2862" s="336" t="s">
        <v>3965</v>
      </c>
      <c r="F2862" s="338"/>
      <c r="G2862" s="338">
        <v>1.17</v>
      </c>
      <c r="H2862" s="338" t="s">
        <v>429</v>
      </c>
      <c r="I2862" s="338" t="s">
        <v>411</v>
      </c>
      <c r="J2862" s="339"/>
      <c r="K2862" s="339"/>
      <c r="L2862" s="339" t="s">
        <v>409</v>
      </c>
      <c r="M2862" s="339" t="s">
        <v>409</v>
      </c>
      <c r="N2862" s="338"/>
      <c r="O2862" s="338" t="s">
        <v>409</v>
      </c>
      <c r="P2862" s="338" t="s">
        <v>417</v>
      </c>
    </row>
    <row r="2863" spans="2:16" x14ac:dyDescent="0.25">
      <c r="B2863" s="336" t="s">
        <v>416</v>
      </c>
      <c r="C2863" s="337">
        <v>39534</v>
      </c>
      <c r="D2863" s="338" t="s">
        <v>4199</v>
      </c>
      <c r="E2863" s="336" t="s">
        <v>468</v>
      </c>
      <c r="F2863" s="338"/>
      <c r="G2863" s="338" t="s">
        <v>413</v>
      </c>
      <c r="H2863" s="338" t="s">
        <v>425</v>
      </c>
      <c r="I2863" s="338" t="s">
        <v>411</v>
      </c>
      <c r="J2863" s="339"/>
      <c r="K2863" s="339"/>
      <c r="L2863" s="339" t="s">
        <v>409</v>
      </c>
      <c r="M2863" s="339" t="s">
        <v>409</v>
      </c>
      <c r="N2863" s="338" t="s">
        <v>417</v>
      </c>
      <c r="O2863" s="338" t="s">
        <v>409</v>
      </c>
      <c r="P2863" s="338" t="s">
        <v>443</v>
      </c>
    </row>
    <row r="2864" spans="2:16" x14ac:dyDescent="0.25">
      <c r="B2864" s="336" t="s">
        <v>416</v>
      </c>
      <c r="C2864" s="337">
        <v>39534</v>
      </c>
      <c r="D2864" s="338" t="s">
        <v>4198</v>
      </c>
      <c r="E2864" s="336" t="s">
        <v>468</v>
      </c>
      <c r="F2864" s="338"/>
      <c r="G2864" s="338" t="s">
        <v>413</v>
      </c>
      <c r="H2864" s="338" t="s">
        <v>425</v>
      </c>
      <c r="I2864" s="338" t="s">
        <v>411</v>
      </c>
      <c r="J2864" s="339"/>
      <c r="K2864" s="339"/>
      <c r="L2864" s="339" t="s">
        <v>409</v>
      </c>
      <c r="M2864" s="339" t="s">
        <v>409</v>
      </c>
      <c r="N2864" s="338" t="s">
        <v>417</v>
      </c>
      <c r="O2864" s="338" t="s">
        <v>409</v>
      </c>
      <c r="P2864" s="338" t="s">
        <v>443</v>
      </c>
    </row>
    <row r="2865" spans="2:16" x14ac:dyDescent="0.25">
      <c r="B2865" s="336" t="s">
        <v>416</v>
      </c>
      <c r="C2865" s="337">
        <v>39534</v>
      </c>
      <c r="D2865" s="338" t="s">
        <v>4197</v>
      </c>
      <c r="E2865" s="336" t="s">
        <v>1824</v>
      </c>
      <c r="F2865" s="338"/>
      <c r="G2865" s="338">
        <v>8.6999999999999993</v>
      </c>
      <c r="H2865" s="338" t="s">
        <v>425</v>
      </c>
      <c r="I2865" s="338" t="s">
        <v>411</v>
      </c>
      <c r="J2865" s="339"/>
      <c r="K2865" s="339"/>
      <c r="L2865" s="339" t="s">
        <v>409</v>
      </c>
      <c r="M2865" s="339" t="s">
        <v>409</v>
      </c>
      <c r="N2865" s="338"/>
      <c r="O2865" s="338" t="s">
        <v>409</v>
      </c>
      <c r="P2865" s="338" t="s">
        <v>417</v>
      </c>
    </row>
    <row r="2866" spans="2:16" x14ac:dyDescent="0.25">
      <c r="B2866" s="336" t="s">
        <v>416</v>
      </c>
      <c r="C2866" s="337">
        <v>39533</v>
      </c>
      <c r="D2866" s="338" t="s">
        <v>956</v>
      </c>
      <c r="E2866" s="336" t="s">
        <v>3179</v>
      </c>
      <c r="F2866" s="338" t="s">
        <v>4196</v>
      </c>
      <c r="G2866" s="338">
        <v>40.5</v>
      </c>
      <c r="H2866" s="338" t="s">
        <v>425</v>
      </c>
      <c r="I2866" s="338" t="s">
        <v>411</v>
      </c>
      <c r="J2866" s="339"/>
      <c r="K2866" s="339"/>
      <c r="L2866" s="339"/>
      <c r="M2866" s="339"/>
      <c r="N2866" s="338"/>
      <c r="O2866" s="338" t="s">
        <v>417</v>
      </c>
      <c r="P2866" s="338" t="s">
        <v>417</v>
      </c>
    </row>
    <row r="2867" spans="2:16" x14ac:dyDescent="0.25">
      <c r="B2867" s="336" t="s">
        <v>416</v>
      </c>
      <c r="C2867" s="337">
        <v>39532</v>
      </c>
      <c r="D2867" s="338" t="s">
        <v>956</v>
      </c>
      <c r="E2867" s="336" t="s">
        <v>4195</v>
      </c>
      <c r="F2867" s="338" t="s">
        <v>3223</v>
      </c>
      <c r="G2867" s="338" t="s">
        <v>413</v>
      </c>
      <c r="H2867" s="338" t="s">
        <v>425</v>
      </c>
      <c r="I2867" s="338" t="s">
        <v>411</v>
      </c>
      <c r="J2867" s="339"/>
      <c r="K2867" s="339"/>
      <c r="L2867" s="339"/>
      <c r="M2867" s="339"/>
      <c r="N2867" s="338"/>
      <c r="O2867" s="338" t="s">
        <v>417</v>
      </c>
      <c r="P2867" s="338" t="s">
        <v>410</v>
      </c>
    </row>
    <row r="2868" spans="2:16" x14ac:dyDescent="0.25">
      <c r="B2868" s="336" t="s">
        <v>416</v>
      </c>
      <c r="C2868" s="337">
        <v>39532</v>
      </c>
      <c r="D2868" s="338" t="s">
        <v>833</v>
      </c>
      <c r="E2868" s="336" t="s">
        <v>889</v>
      </c>
      <c r="F2868" s="338" t="s">
        <v>804</v>
      </c>
      <c r="G2868" s="338" t="s">
        <v>413</v>
      </c>
      <c r="H2868" s="338" t="s">
        <v>412</v>
      </c>
      <c r="I2868" s="338" t="s">
        <v>411</v>
      </c>
      <c r="J2868" s="339"/>
      <c r="K2868" s="339"/>
      <c r="L2868" s="339"/>
      <c r="M2868" s="339"/>
      <c r="N2868" s="338" t="s">
        <v>410</v>
      </c>
      <c r="O2868" s="338" t="s">
        <v>443</v>
      </c>
      <c r="P2868" s="338" t="s">
        <v>410</v>
      </c>
    </row>
    <row r="2869" spans="2:16" x14ac:dyDescent="0.25">
      <c r="B2869" s="336" t="s">
        <v>416</v>
      </c>
      <c r="C2869" s="337">
        <v>39532</v>
      </c>
      <c r="D2869" s="338" t="s">
        <v>4194</v>
      </c>
      <c r="E2869" s="336" t="s">
        <v>3360</v>
      </c>
      <c r="F2869" s="338"/>
      <c r="G2869" s="338" t="s">
        <v>413</v>
      </c>
      <c r="H2869" s="338" t="s">
        <v>412</v>
      </c>
      <c r="I2869" s="338" t="s">
        <v>411</v>
      </c>
      <c r="J2869" s="339"/>
      <c r="K2869" s="339"/>
      <c r="L2869" s="339" t="s">
        <v>409</v>
      </c>
      <c r="M2869" s="339" t="s">
        <v>409</v>
      </c>
      <c r="N2869" s="338" t="s">
        <v>417</v>
      </c>
      <c r="O2869" s="338" t="s">
        <v>409</v>
      </c>
      <c r="P2869" s="338" t="s">
        <v>410</v>
      </c>
    </row>
    <row r="2870" spans="2:16" x14ac:dyDescent="0.25">
      <c r="B2870" s="336" t="s">
        <v>416</v>
      </c>
      <c r="C2870" s="337">
        <v>39532</v>
      </c>
      <c r="D2870" s="338" t="s">
        <v>4193</v>
      </c>
      <c r="E2870" s="336" t="s">
        <v>3686</v>
      </c>
      <c r="F2870" s="338"/>
      <c r="G2870" s="338" t="s">
        <v>413</v>
      </c>
      <c r="H2870" s="338" t="s">
        <v>425</v>
      </c>
      <c r="I2870" s="338" t="s">
        <v>411</v>
      </c>
      <c r="J2870" s="339"/>
      <c r="K2870" s="339"/>
      <c r="L2870" s="339" t="s">
        <v>409</v>
      </c>
      <c r="M2870" s="339" t="s">
        <v>409</v>
      </c>
      <c r="N2870" s="338"/>
      <c r="O2870" s="338" t="s">
        <v>409</v>
      </c>
      <c r="P2870" s="338" t="s">
        <v>432</v>
      </c>
    </row>
    <row r="2871" spans="2:16" x14ac:dyDescent="0.25">
      <c r="B2871" s="336" t="s">
        <v>459</v>
      </c>
      <c r="C2871" s="337">
        <v>39531</v>
      </c>
      <c r="D2871" s="338" t="s">
        <v>1099</v>
      </c>
      <c r="E2871" s="336" t="s">
        <v>4192</v>
      </c>
      <c r="F2871" s="338" t="s">
        <v>1098</v>
      </c>
      <c r="G2871" s="338" t="s">
        <v>413</v>
      </c>
      <c r="H2871" s="338" t="s">
        <v>412</v>
      </c>
      <c r="I2871" s="338" t="s">
        <v>411</v>
      </c>
      <c r="J2871" s="339"/>
      <c r="K2871" s="339"/>
      <c r="L2871" s="339"/>
      <c r="M2871" s="339"/>
      <c r="N2871" s="338" t="s">
        <v>410</v>
      </c>
      <c r="O2871" s="338" t="s">
        <v>443</v>
      </c>
      <c r="P2871" s="338" t="s">
        <v>410</v>
      </c>
    </row>
    <row r="2872" spans="2:16" x14ac:dyDescent="0.25">
      <c r="B2872" s="336" t="s">
        <v>416</v>
      </c>
      <c r="C2872" s="337">
        <v>39531</v>
      </c>
      <c r="D2872" s="338" t="s">
        <v>4191</v>
      </c>
      <c r="E2872" s="336" t="s">
        <v>4190</v>
      </c>
      <c r="F2872" s="338" t="s">
        <v>4189</v>
      </c>
      <c r="G2872" s="338" t="s">
        <v>413</v>
      </c>
      <c r="H2872" s="338" t="s">
        <v>412</v>
      </c>
      <c r="I2872" s="338" t="s">
        <v>411</v>
      </c>
      <c r="J2872" s="339"/>
      <c r="K2872" s="339"/>
      <c r="L2872" s="339"/>
      <c r="M2872" s="339"/>
      <c r="N2872" s="338" t="s">
        <v>417</v>
      </c>
      <c r="O2872" s="338" t="s">
        <v>417</v>
      </c>
      <c r="P2872" s="338" t="s">
        <v>417</v>
      </c>
    </row>
    <row r="2873" spans="2:16" x14ac:dyDescent="0.25">
      <c r="B2873" s="336" t="s">
        <v>416</v>
      </c>
      <c r="C2873" s="337">
        <v>39528</v>
      </c>
      <c r="D2873" s="338" t="s">
        <v>4188</v>
      </c>
      <c r="E2873" s="336" t="s">
        <v>4187</v>
      </c>
      <c r="F2873" s="338" t="s">
        <v>4186</v>
      </c>
      <c r="G2873" s="338">
        <v>6</v>
      </c>
      <c r="H2873" s="338" t="s">
        <v>425</v>
      </c>
      <c r="I2873" s="338" t="s">
        <v>411</v>
      </c>
      <c r="J2873" s="339"/>
      <c r="K2873" s="339"/>
      <c r="L2873" s="339">
        <v>5.2762399999999996</v>
      </c>
      <c r="M2873" s="339"/>
      <c r="N2873" s="338" t="s">
        <v>443</v>
      </c>
      <c r="O2873" s="338" t="s">
        <v>417</v>
      </c>
      <c r="P2873" s="338" t="s">
        <v>443</v>
      </c>
    </row>
    <row r="2874" spans="2:16" x14ac:dyDescent="0.25">
      <c r="B2874" s="336" t="s">
        <v>416</v>
      </c>
      <c r="C2874" s="337">
        <v>39528</v>
      </c>
      <c r="D2874" s="338" t="s">
        <v>4185</v>
      </c>
      <c r="E2874" s="336" t="s">
        <v>4184</v>
      </c>
      <c r="F2874" s="338"/>
      <c r="G2874" s="338" t="s">
        <v>413</v>
      </c>
      <c r="H2874" s="338" t="s">
        <v>425</v>
      </c>
      <c r="I2874" s="338" t="s">
        <v>411</v>
      </c>
      <c r="J2874" s="339"/>
      <c r="K2874" s="339"/>
      <c r="L2874" s="339" t="s">
        <v>409</v>
      </c>
      <c r="M2874" s="339" t="s">
        <v>409</v>
      </c>
      <c r="N2874" s="338" t="s">
        <v>417</v>
      </c>
      <c r="O2874" s="338" t="s">
        <v>409</v>
      </c>
      <c r="P2874" s="338" t="s">
        <v>443</v>
      </c>
    </row>
    <row r="2875" spans="2:16" x14ac:dyDescent="0.25">
      <c r="B2875" s="336" t="s">
        <v>416</v>
      </c>
      <c r="C2875" s="337">
        <v>39527</v>
      </c>
      <c r="D2875" s="338" t="s">
        <v>4183</v>
      </c>
      <c r="E2875" s="336" t="s">
        <v>807</v>
      </c>
      <c r="F2875" s="338" t="s">
        <v>3494</v>
      </c>
      <c r="G2875" s="338" t="s">
        <v>413</v>
      </c>
      <c r="H2875" s="338" t="s">
        <v>425</v>
      </c>
      <c r="I2875" s="338" t="s">
        <v>411</v>
      </c>
      <c r="J2875" s="339"/>
      <c r="K2875" s="339"/>
      <c r="L2875" s="339">
        <v>4.4746899999999998</v>
      </c>
      <c r="M2875" s="339">
        <v>11.501300000000001</v>
      </c>
      <c r="N2875" s="338"/>
      <c r="O2875" s="338" t="s">
        <v>417</v>
      </c>
      <c r="P2875" s="338" t="s">
        <v>417</v>
      </c>
    </row>
    <row r="2876" spans="2:16" x14ac:dyDescent="0.25">
      <c r="B2876" s="336" t="s">
        <v>541</v>
      </c>
      <c r="C2876" s="337">
        <v>39526</v>
      </c>
      <c r="D2876" s="338" t="s">
        <v>3985</v>
      </c>
      <c r="E2876" s="336" t="s">
        <v>539</v>
      </c>
      <c r="F2876" s="338" t="s">
        <v>1249</v>
      </c>
      <c r="G2876" s="338">
        <v>8.15</v>
      </c>
      <c r="H2876" s="338"/>
      <c r="I2876" s="338" t="s">
        <v>411</v>
      </c>
      <c r="J2876" s="339">
        <v>162.34100000000001</v>
      </c>
      <c r="K2876" s="339">
        <v>469.56900000000002</v>
      </c>
      <c r="L2876" s="339">
        <v>1.74013</v>
      </c>
      <c r="M2876" s="339">
        <v>11.651400000000001</v>
      </c>
      <c r="N2876" s="338" t="s">
        <v>443</v>
      </c>
      <c r="O2876" s="338" t="s">
        <v>417</v>
      </c>
      <c r="P2876" s="338" t="s">
        <v>409</v>
      </c>
    </row>
    <row r="2877" spans="2:16" x14ac:dyDescent="0.25">
      <c r="B2877" s="336" t="s">
        <v>416</v>
      </c>
      <c r="C2877" s="337">
        <v>39526</v>
      </c>
      <c r="D2877" s="338" t="s">
        <v>4182</v>
      </c>
      <c r="E2877" s="336" t="s">
        <v>1079</v>
      </c>
      <c r="F2877" s="338"/>
      <c r="G2877" s="338" t="s">
        <v>413</v>
      </c>
      <c r="H2877" s="338" t="s">
        <v>412</v>
      </c>
      <c r="I2877" s="338" t="s">
        <v>411</v>
      </c>
      <c r="J2877" s="339"/>
      <c r="K2877" s="339"/>
      <c r="L2877" s="339" t="s">
        <v>409</v>
      </c>
      <c r="M2877" s="339" t="s">
        <v>409</v>
      </c>
      <c r="N2877" s="338" t="s">
        <v>487</v>
      </c>
      <c r="O2877" s="338" t="s">
        <v>409</v>
      </c>
      <c r="P2877" s="338" t="s">
        <v>417</v>
      </c>
    </row>
    <row r="2878" spans="2:16" x14ac:dyDescent="0.25">
      <c r="B2878" s="336" t="s">
        <v>416</v>
      </c>
      <c r="C2878" s="337">
        <v>39526</v>
      </c>
      <c r="D2878" s="338" t="s">
        <v>4181</v>
      </c>
      <c r="E2878" s="336" t="s">
        <v>441</v>
      </c>
      <c r="F2878" s="338" t="s">
        <v>4180</v>
      </c>
      <c r="G2878" s="338" t="s">
        <v>413</v>
      </c>
      <c r="H2878" s="338" t="s">
        <v>425</v>
      </c>
      <c r="I2878" s="338" t="s">
        <v>411</v>
      </c>
      <c r="J2878" s="339"/>
      <c r="K2878" s="339"/>
      <c r="L2878" s="339">
        <v>2.0968599999999999</v>
      </c>
      <c r="M2878" s="339">
        <v>3.97241</v>
      </c>
      <c r="N2878" s="338"/>
      <c r="O2878" s="338" t="s">
        <v>408</v>
      </c>
      <c r="P2878" s="338" t="s">
        <v>417</v>
      </c>
    </row>
    <row r="2879" spans="2:16" x14ac:dyDescent="0.25">
      <c r="B2879" s="336" t="s">
        <v>416</v>
      </c>
      <c r="C2879" s="337">
        <v>39526</v>
      </c>
      <c r="D2879" s="338" t="s">
        <v>4179</v>
      </c>
      <c r="E2879" s="336" t="s">
        <v>2388</v>
      </c>
      <c r="F2879" s="338" t="s">
        <v>3987</v>
      </c>
      <c r="G2879" s="338" t="s">
        <v>413</v>
      </c>
      <c r="H2879" s="338" t="s">
        <v>425</v>
      </c>
      <c r="I2879" s="338" t="s">
        <v>411</v>
      </c>
      <c r="J2879" s="339"/>
      <c r="K2879" s="339"/>
      <c r="L2879" s="339"/>
      <c r="M2879" s="339"/>
      <c r="N2879" s="338"/>
      <c r="O2879" s="338" t="s">
        <v>432</v>
      </c>
      <c r="P2879" s="338" t="s">
        <v>417</v>
      </c>
    </row>
    <row r="2880" spans="2:16" x14ac:dyDescent="0.25">
      <c r="B2880" s="336" t="s">
        <v>416</v>
      </c>
      <c r="C2880" s="337">
        <v>39525</v>
      </c>
      <c r="D2880" s="338" t="s">
        <v>4178</v>
      </c>
      <c r="E2880" s="336" t="s">
        <v>438</v>
      </c>
      <c r="F2880" s="338"/>
      <c r="G2880" s="338">
        <v>7.3</v>
      </c>
      <c r="H2880" s="338" t="s">
        <v>425</v>
      </c>
      <c r="I2880" s="338" t="s">
        <v>411</v>
      </c>
      <c r="J2880" s="339"/>
      <c r="K2880" s="339"/>
      <c r="L2880" s="339" t="s">
        <v>409</v>
      </c>
      <c r="M2880" s="339" t="s">
        <v>409</v>
      </c>
      <c r="N2880" s="338"/>
      <c r="O2880" s="338" t="s">
        <v>409</v>
      </c>
      <c r="P2880" s="338" t="s">
        <v>417</v>
      </c>
    </row>
    <row r="2881" spans="2:16" x14ac:dyDescent="0.25">
      <c r="B2881" s="336" t="s">
        <v>416</v>
      </c>
      <c r="C2881" s="337">
        <v>39524</v>
      </c>
      <c r="D2881" s="338" t="s">
        <v>4177</v>
      </c>
      <c r="E2881" s="336" t="s">
        <v>2060</v>
      </c>
      <c r="F2881" s="338"/>
      <c r="G2881" s="338" t="s">
        <v>413</v>
      </c>
      <c r="H2881" s="338" t="s">
        <v>412</v>
      </c>
      <c r="I2881" s="338" t="s">
        <v>411</v>
      </c>
      <c r="J2881" s="339"/>
      <c r="K2881" s="339"/>
      <c r="L2881" s="339" t="s">
        <v>409</v>
      </c>
      <c r="M2881" s="339" t="s">
        <v>409</v>
      </c>
      <c r="N2881" s="338" t="s">
        <v>417</v>
      </c>
      <c r="O2881" s="338" t="s">
        <v>409</v>
      </c>
      <c r="P2881" s="338" t="s">
        <v>417</v>
      </c>
    </row>
    <row r="2882" spans="2:16" x14ac:dyDescent="0.25">
      <c r="B2882" s="336" t="s">
        <v>416</v>
      </c>
      <c r="C2882" s="337">
        <v>39524</v>
      </c>
      <c r="D2882" s="338" t="s">
        <v>4176</v>
      </c>
      <c r="E2882" s="336" t="s">
        <v>3228</v>
      </c>
      <c r="F2882" s="338"/>
      <c r="G2882" s="338">
        <v>108.41</v>
      </c>
      <c r="H2882" s="338" t="s">
        <v>671</v>
      </c>
      <c r="I2882" s="338" t="s">
        <v>411</v>
      </c>
      <c r="J2882" s="339"/>
      <c r="K2882" s="339"/>
      <c r="L2882" s="339" t="s">
        <v>409</v>
      </c>
      <c r="M2882" s="339" t="s">
        <v>409</v>
      </c>
      <c r="N2882" s="338" t="s">
        <v>417</v>
      </c>
      <c r="O2882" s="338" t="s">
        <v>409</v>
      </c>
      <c r="P2882" s="338" t="s">
        <v>417</v>
      </c>
    </row>
    <row r="2883" spans="2:16" x14ac:dyDescent="0.25">
      <c r="B2883" s="336" t="s">
        <v>416</v>
      </c>
      <c r="C2883" s="337">
        <v>39524</v>
      </c>
      <c r="D2883" s="338" t="s">
        <v>4175</v>
      </c>
      <c r="E2883" s="336" t="s">
        <v>1619</v>
      </c>
      <c r="F2883" s="338"/>
      <c r="G2883" s="338" t="s">
        <v>413</v>
      </c>
      <c r="H2883" s="338" t="s">
        <v>412</v>
      </c>
      <c r="I2883" s="338" t="s">
        <v>411</v>
      </c>
      <c r="J2883" s="339"/>
      <c r="K2883" s="339"/>
      <c r="L2883" s="339" t="s">
        <v>409</v>
      </c>
      <c r="M2883" s="339" t="s">
        <v>409</v>
      </c>
      <c r="N2883" s="338" t="s">
        <v>410</v>
      </c>
      <c r="O2883" s="338" t="s">
        <v>409</v>
      </c>
      <c r="P2883" s="338" t="s">
        <v>417</v>
      </c>
    </row>
    <row r="2884" spans="2:16" x14ac:dyDescent="0.25">
      <c r="B2884" s="336" t="s">
        <v>416</v>
      </c>
      <c r="C2884" s="337">
        <v>39524</v>
      </c>
      <c r="D2884" s="338" t="s">
        <v>4174</v>
      </c>
      <c r="E2884" s="336" t="s">
        <v>1619</v>
      </c>
      <c r="F2884" s="338"/>
      <c r="G2884" s="338">
        <v>249.69</v>
      </c>
      <c r="H2884" s="338" t="s">
        <v>425</v>
      </c>
      <c r="I2884" s="338" t="s">
        <v>411</v>
      </c>
      <c r="J2884" s="339">
        <v>1.0739799999999999</v>
      </c>
      <c r="K2884" s="339">
        <v>37.472200000000001</v>
      </c>
      <c r="L2884" s="339" t="s">
        <v>409</v>
      </c>
      <c r="M2884" s="339" t="s">
        <v>409</v>
      </c>
      <c r="N2884" s="338" t="s">
        <v>410</v>
      </c>
      <c r="O2884" s="338" t="s">
        <v>409</v>
      </c>
      <c r="P2884" s="338" t="s">
        <v>417</v>
      </c>
    </row>
    <row r="2885" spans="2:16" x14ac:dyDescent="0.25">
      <c r="B2885" s="336" t="s">
        <v>416</v>
      </c>
      <c r="C2885" s="337">
        <v>39521</v>
      </c>
      <c r="D2885" s="338" t="s">
        <v>956</v>
      </c>
      <c r="E2885" s="336" t="s">
        <v>4173</v>
      </c>
      <c r="F2885" s="338" t="s">
        <v>4172</v>
      </c>
      <c r="G2885" s="338">
        <v>0.55000000000000004</v>
      </c>
      <c r="H2885" s="338" t="s">
        <v>429</v>
      </c>
      <c r="I2885" s="338" t="s">
        <v>411</v>
      </c>
      <c r="J2885" s="339"/>
      <c r="K2885" s="339"/>
      <c r="L2885" s="339"/>
      <c r="M2885" s="339"/>
      <c r="N2885" s="338"/>
      <c r="O2885" s="338" t="s">
        <v>417</v>
      </c>
      <c r="P2885" s="338" t="s">
        <v>417</v>
      </c>
    </row>
    <row r="2886" spans="2:16" x14ac:dyDescent="0.25">
      <c r="B2886" s="336" t="s">
        <v>541</v>
      </c>
      <c r="C2886" s="337">
        <v>39520</v>
      </c>
      <c r="D2886" s="338" t="s">
        <v>847</v>
      </c>
      <c r="E2886" s="336" t="s">
        <v>539</v>
      </c>
      <c r="F2886" s="338" t="s">
        <v>2869</v>
      </c>
      <c r="G2886" s="338">
        <v>52</v>
      </c>
      <c r="H2886" s="338"/>
      <c r="I2886" s="338" t="s">
        <v>411</v>
      </c>
      <c r="J2886" s="339">
        <v>0.73045499999999997</v>
      </c>
      <c r="K2886" s="339">
        <v>7.7241400000000002</v>
      </c>
      <c r="L2886" s="339">
        <v>0.62776399999999999</v>
      </c>
      <c r="M2886" s="339">
        <v>7.1065500000000004</v>
      </c>
      <c r="N2886" s="338" t="s">
        <v>417</v>
      </c>
      <c r="O2886" s="338" t="s">
        <v>417</v>
      </c>
      <c r="P2886" s="338" t="s">
        <v>409</v>
      </c>
    </row>
    <row r="2887" spans="2:16" x14ac:dyDescent="0.25">
      <c r="B2887" s="336" t="s">
        <v>416</v>
      </c>
      <c r="C2887" s="337">
        <v>39520</v>
      </c>
      <c r="D2887" s="338" t="s">
        <v>4171</v>
      </c>
      <c r="E2887" s="336" t="s">
        <v>4003</v>
      </c>
      <c r="F2887" s="338"/>
      <c r="G2887" s="338" t="s">
        <v>413</v>
      </c>
      <c r="H2887" s="338" t="s">
        <v>412</v>
      </c>
      <c r="I2887" s="338" t="s">
        <v>411</v>
      </c>
      <c r="J2887" s="339"/>
      <c r="K2887" s="339"/>
      <c r="L2887" s="339" t="s">
        <v>409</v>
      </c>
      <c r="M2887" s="339" t="s">
        <v>409</v>
      </c>
      <c r="N2887" s="338" t="s">
        <v>410</v>
      </c>
      <c r="O2887" s="338" t="s">
        <v>409</v>
      </c>
      <c r="P2887" s="338" t="s">
        <v>417</v>
      </c>
    </row>
    <row r="2888" spans="2:16" x14ac:dyDescent="0.25">
      <c r="B2888" s="336" t="s">
        <v>416</v>
      </c>
      <c r="C2888" s="337">
        <v>39520</v>
      </c>
      <c r="D2888" s="338" t="s">
        <v>4170</v>
      </c>
      <c r="E2888" s="336" t="s">
        <v>825</v>
      </c>
      <c r="F2888" s="338"/>
      <c r="G2888" s="338">
        <v>119.39</v>
      </c>
      <c r="H2888" s="338" t="s">
        <v>429</v>
      </c>
      <c r="I2888" s="338" t="s">
        <v>411</v>
      </c>
      <c r="J2888" s="339"/>
      <c r="K2888" s="339"/>
      <c r="L2888" s="339" t="s">
        <v>409</v>
      </c>
      <c r="M2888" s="339" t="s">
        <v>409</v>
      </c>
      <c r="N2888" s="338" t="s">
        <v>417</v>
      </c>
      <c r="O2888" s="338" t="s">
        <v>409</v>
      </c>
      <c r="P2888" s="338" t="s">
        <v>417</v>
      </c>
    </row>
    <row r="2889" spans="2:16" x14ac:dyDescent="0.25">
      <c r="B2889" s="336" t="s">
        <v>416</v>
      </c>
      <c r="C2889" s="337">
        <v>39520</v>
      </c>
      <c r="D2889" s="338" t="s">
        <v>4169</v>
      </c>
      <c r="E2889" s="336" t="s">
        <v>4168</v>
      </c>
      <c r="F2889" s="338"/>
      <c r="G2889" s="338" t="s">
        <v>413</v>
      </c>
      <c r="H2889" s="338" t="s">
        <v>412</v>
      </c>
      <c r="I2889" s="338" t="s">
        <v>411</v>
      </c>
      <c r="J2889" s="339"/>
      <c r="K2889" s="339"/>
      <c r="L2889" s="339" t="s">
        <v>409</v>
      </c>
      <c r="M2889" s="339" t="s">
        <v>409</v>
      </c>
      <c r="N2889" s="338" t="s">
        <v>417</v>
      </c>
      <c r="O2889" s="338" t="s">
        <v>409</v>
      </c>
      <c r="P2889" s="338" t="s">
        <v>487</v>
      </c>
    </row>
    <row r="2890" spans="2:16" x14ac:dyDescent="0.25">
      <c r="B2890" s="336" t="s">
        <v>416</v>
      </c>
      <c r="C2890" s="337">
        <v>39519</v>
      </c>
      <c r="D2890" s="338" t="s">
        <v>4167</v>
      </c>
      <c r="E2890" s="336" t="s">
        <v>4166</v>
      </c>
      <c r="F2890" s="338" t="s">
        <v>4165</v>
      </c>
      <c r="G2890" s="338" t="s">
        <v>413</v>
      </c>
      <c r="H2890" s="338" t="s">
        <v>425</v>
      </c>
      <c r="I2890" s="338" t="s">
        <v>411</v>
      </c>
      <c r="J2890" s="339"/>
      <c r="K2890" s="339"/>
      <c r="L2890" s="339"/>
      <c r="M2890" s="339"/>
      <c r="N2890" s="338"/>
      <c r="O2890" s="338" t="s">
        <v>417</v>
      </c>
      <c r="P2890" s="338" t="s">
        <v>417</v>
      </c>
    </row>
    <row r="2891" spans="2:16" x14ac:dyDescent="0.25">
      <c r="B2891" s="336" t="s">
        <v>416</v>
      </c>
      <c r="C2891" s="337">
        <v>39519</v>
      </c>
      <c r="D2891" s="338" t="s">
        <v>4164</v>
      </c>
      <c r="E2891" s="336" t="s">
        <v>2839</v>
      </c>
      <c r="F2891" s="338"/>
      <c r="G2891" s="338">
        <v>3.78</v>
      </c>
      <c r="H2891" s="338" t="s">
        <v>429</v>
      </c>
      <c r="I2891" s="338" t="s">
        <v>411</v>
      </c>
      <c r="J2891" s="339"/>
      <c r="K2891" s="339"/>
      <c r="L2891" s="339" t="s">
        <v>409</v>
      </c>
      <c r="M2891" s="339" t="s">
        <v>409</v>
      </c>
      <c r="N2891" s="338" t="s">
        <v>432</v>
      </c>
      <c r="O2891" s="338" t="s">
        <v>409</v>
      </c>
      <c r="P2891" s="338" t="s">
        <v>417</v>
      </c>
    </row>
    <row r="2892" spans="2:16" x14ac:dyDescent="0.25">
      <c r="B2892" s="336" t="s">
        <v>416</v>
      </c>
      <c r="C2892" s="337">
        <v>39519</v>
      </c>
      <c r="D2892" s="338" t="s">
        <v>4163</v>
      </c>
      <c r="E2892" s="336" t="s">
        <v>4003</v>
      </c>
      <c r="F2892" s="338"/>
      <c r="G2892" s="338" t="s">
        <v>413</v>
      </c>
      <c r="H2892" s="338" t="s">
        <v>412</v>
      </c>
      <c r="I2892" s="338" t="s">
        <v>411</v>
      </c>
      <c r="J2892" s="339"/>
      <c r="K2892" s="339"/>
      <c r="L2892" s="339" t="s">
        <v>409</v>
      </c>
      <c r="M2892" s="339" t="s">
        <v>409</v>
      </c>
      <c r="N2892" s="338" t="s">
        <v>410</v>
      </c>
      <c r="O2892" s="338" t="s">
        <v>409</v>
      </c>
      <c r="P2892" s="338" t="s">
        <v>417</v>
      </c>
    </row>
    <row r="2893" spans="2:16" x14ac:dyDescent="0.25">
      <c r="B2893" s="336" t="s">
        <v>416</v>
      </c>
      <c r="C2893" s="337">
        <v>39519</v>
      </c>
      <c r="D2893" s="338" t="s">
        <v>4162</v>
      </c>
      <c r="E2893" s="336" t="s">
        <v>4161</v>
      </c>
      <c r="F2893" s="338" t="s">
        <v>4160</v>
      </c>
      <c r="G2893" s="338">
        <v>1.35</v>
      </c>
      <c r="H2893" s="338" t="s">
        <v>425</v>
      </c>
      <c r="I2893" s="338" t="s">
        <v>411</v>
      </c>
      <c r="J2893" s="339"/>
      <c r="K2893" s="339"/>
      <c r="L2893" s="339"/>
      <c r="M2893" s="339"/>
      <c r="N2893" s="338"/>
      <c r="O2893" s="338" t="s">
        <v>443</v>
      </c>
      <c r="P2893" s="338" t="s">
        <v>417</v>
      </c>
    </row>
    <row r="2894" spans="2:16" x14ac:dyDescent="0.25">
      <c r="B2894" s="336" t="s">
        <v>416</v>
      </c>
      <c r="C2894" s="337">
        <v>39518</v>
      </c>
      <c r="D2894" s="338" t="s">
        <v>4159</v>
      </c>
      <c r="E2894" s="336" t="s">
        <v>4158</v>
      </c>
      <c r="F2894" s="338"/>
      <c r="G2894" s="338" t="s">
        <v>413</v>
      </c>
      <c r="H2894" s="338" t="s">
        <v>425</v>
      </c>
      <c r="I2894" s="338" t="s">
        <v>411</v>
      </c>
      <c r="J2894" s="339"/>
      <c r="K2894" s="339"/>
      <c r="L2894" s="339" t="s">
        <v>409</v>
      </c>
      <c r="M2894" s="339" t="s">
        <v>409</v>
      </c>
      <c r="N2894" s="338" t="s">
        <v>417</v>
      </c>
      <c r="O2894" s="338" t="s">
        <v>409</v>
      </c>
      <c r="P2894" s="338" t="s">
        <v>443</v>
      </c>
    </row>
    <row r="2895" spans="2:16" x14ac:dyDescent="0.25">
      <c r="B2895" s="336" t="s">
        <v>416</v>
      </c>
      <c r="C2895" s="337">
        <v>39518</v>
      </c>
      <c r="D2895" s="338" t="s">
        <v>4157</v>
      </c>
      <c r="E2895" s="336" t="s">
        <v>479</v>
      </c>
      <c r="F2895" s="338"/>
      <c r="G2895" s="338">
        <v>36</v>
      </c>
      <c r="H2895" s="338" t="s">
        <v>425</v>
      </c>
      <c r="I2895" s="338" t="s">
        <v>411</v>
      </c>
      <c r="J2895" s="339"/>
      <c r="K2895" s="339"/>
      <c r="L2895" s="339" t="s">
        <v>409</v>
      </c>
      <c r="M2895" s="339" t="s">
        <v>409</v>
      </c>
      <c r="N2895" s="338" t="s">
        <v>417</v>
      </c>
      <c r="O2895" s="338" t="s">
        <v>409</v>
      </c>
      <c r="P2895" s="338" t="s">
        <v>443</v>
      </c>
    </row>
    <row r="2896" spans="2:16" x14ac:dyDescent="0.25">
      <c r="B2896" s="336" t="s">
        <v>416</v>
      </c>
      <c r="C2896" s="337">
        <v>39518</v>
      </c>
      <c r="D2896" s="338" t="s">
        <v>4156</v>
      </c>
      <c r="E2896" s="336" t="s">
        <v>669</v>
      </c>
      <c r="F2896" s="338"/>
      <c r="G2896" s="338" t="s">
        <v>413</v>
      </c>
      <c r="H2896" s="338" t="s">
        <v>412</v>
      </c>
      <c r="I2896" s="338" t="s">
        <v>411</v>
      </c>
      <c r="J2896" s="339"/>
      <c r="K2896" s="339"/>
      <c r="L2896" s="339" t="s">
        <v>409</v>
      </c>
      <c r="M2896" s="339" t="s">
        <v>409</v>
      </c>
      <c r="N2896" s="338" t="s">
        <v>417</v>
      </c>
      <c r="O2896" s="338" t="s">
        <v>409</v>
      </c>
      <c r="P2896" s="338"/>
    </row>
    <row r="2897" spans="2:16" x14ac:dyDescent="0.25">
      <c r="B2897" s="336" t="s">
        <v>416</v>
      </c>
      <c r="C2897" s="337">
        <v>39517</v>
      </c>
      <c r="D2897" s="338" t="s">
        <v>4155</v>
      </c>
      <c r="E2897" s="336" t="s">
        <v>481</v>
      </c>
      <c r="F2897" s="338"/>
      <c r="G2897" s="338" t="s">
        <v>413</v>
      </c>
      <c r="H2897" s="338" t="s">
        <v>425</v>
      </c>
      <c r="I2897" s="338" t="s">
        <v>411</v>
      </c>
      <c r="J2897" s="339"/>
      <c r="K2897" s="339"/>
      <c r="L2897" s="339" t="s">
        <v>409</v>
      </c>
      <c r="M2897" s="339" t="s">
        <v>409</v>
      </c>
      <c r="N2897" s="338" t="s">
        <v>417</v>
      </c>
      <c r="O2897" s="338" t="s">
        <v>409</v>
      </c>
      <c r="P2897" s="338" t="s">
        <v>417</v>
      </c>
    </row>
    <row r="2898" spans="2:16" x14ac:dyDescent="0.25">
      <c r="B2898" s="336" t="s">
        <v>416</v>
      </c>
      <c r="C2898" s="337">
        <v>39517</v>
      </c>
      <c r="D2898" s="338" t="s">
        <v>4154</v>
      </c>
      <c r="E2898" s="336" t="s">
        <v>4153</v>
      </c>
      <c r="F2898" s="338"/>
      <c r="G2898" s="338">
        <v>19</v>
      </c>
      <c r="H2898" s="338" t="s">
        <v>429</v>
      </c>
      <c r="I2898" s="338" t="s">
        <v>411</v>
      </c>
      <c r="J2898" s="339"/>
      <c r="K2898" s="339"/>
      <c r="L2898" s="339" t="s">
        <v>409</v>
      </c>
      <c r="M2898" s="339" t="s">
        <v>409</v>
      </c>
      <c r="N2898" s="338" t="s">
        <v>417</v>
      </c>
      <c r="O2898" s="338" t="s">
        <v>409</v>
      </c>
      <c r="P2898" s="338" t="s">
        <v>417</v>
      </c>
    </row>
    <row r="2899" spans="2:16" x14ac:dyDescent="0.25">
      <c r="B2899" s="336" t="s">
        <v>416</v>
      </c>
      <c r="C2899" s="337">
        <v>39517</v>
      </c>
      <c r="D2899" s="338" t="s">
        <v>4152</v>
      </c>
      <c r="E2899" s="336" t="s">
        <v>4024</v>
      </c>
      <c r="F2899" s="338"/>
      <c r="G2899" s="338" t="s">
        <v>413</v>
      </c>
      <c r="H2899" s="338" t="s">
        <v>425</v>
      </c>
      <c r="I2899" s="338" t="s">
        <v>411</v>
      </c>
      <c r="J2899" s="339"/>
      <c r="K2899" s="339"/>
      <c r="L2899" s="339" t="s">
        <v>409</v>
      </c>
      <c r="M2899" s="339" t="s">
        <v>409</v>
      </c>
      <c r="N2899" s="338" t="s">
        <v>417</v>
      </c>
      <c r="O2899" s="338" t="s">
        <v>409</v>
      </c>
      <c r="P2899" s="338" t="s">
        <v>443</v>
      </c>
    </row>
    <row r="2900" spans="2:16" x14ac:dyDescent="0.25">
      <c r="B2900" s="336" t="s">
        <v>416</v>
      </c>
      <c r="C2900" s="337">
        <v>39513</v>
      </c>
      <c r="D2900" s="338" t="s">
        <v>4151</v>
      </c>
      <c r="E2900" s="336" t="s">
        <v>4150</v>
      </c>
      <c r="F2900" s="338"/>
      <c r="G2900" s="338" t="s">
        <v>413</v>
      </c>
      <c r="H2900" s="338" t="s">
        <v>336</v>
      </c>
      <c r="I2900" s="338" t="s">
        <v>411</v>
      </c>
      <c r="J2900" s="339"/>
      <c r="K2900" s="339"/>
      <c r="L2900" s="339" t="s">
        <v>409</v>
      </c>
      <c r="M2900" s="339" t="s">
        <v>409</v>
      </c>
      <c r="N2900" s="338" t="s">
        <v>432</v>
      </c>
      <c r="O2900" s="338" t="s">
        <v>409</v>
      </c>
      <c r="P2900" s="338" t="s">
        <v>417</v>
      </c>
    </row>
    <row r="2901" spans="2:16" x14ac:dyDescent="0.25">
      <c r="B2901" s="336" t="s">
        <v>416</v>
      </c>
      <c r="C2901" s="337">
        <v>39512</v>
      </c>
      <c r="D2901" s="338" t="s">
        <v>4149</v>
      </c>
      <c r="E2901" s="336" t="s">
        <v>485</v>
      </c>
      <c r="F2901" s="338"/>
      <c r="G2901" s="338">
        <v>9.1300000000000008</v>
      </c>
      <c r="H2901" s="338" t="s">
        <v>429</v>
      </c>
      <c r="I2901" s="338" t="s">
        <v>411</v>
      </c>
      <c r="J2901" s="339"/>
      <c r="K2901" s="339"/>
      <c r="L2901" s="339" t="s">
        <v>409</v>
      </c>
      <c r="M2901" s="339" t="s">
        <v>409</v>
      </c>
      <c r="N2901" s="338"/>
      <c r="O2901" s="338" t="s">
        <v>409</v>
      </c>
      <c r="P2901" s="338" t="s">
        <v>417</v>
      </c>
    </row>
    <row r="2902" spans="2:16" x14ac:dyDescent="0.25">
      <c r="B2902" s="336" t="s">
        <v>416</v>
      </c>
      <c r="C2902" s="337">
        <v>39512</v>
      </c>
      <c r="D2902" s="338" t="s">
        <v>4148</v>
      </c>
      <c r="E2902" s="336" t="s">
        <v>3662</v>
      </c>
      <c r="F2902" s="338"/>
      <c r="G2902" s="338">
        <v>27</v>
      </c>
      <c r="H2902" s="338" t="s">
        <v>425</v>
      </c>
      <c r="I2902" s="338" t="s">
        <v>411</v>
      </c>
      <c r="J2902" s="339"/>
      <c r="K2902" s="339"/>
      <c r="L2902" s="339" t="s">
        <v>409</v>
      </c>
      <c r="M2902" s="339" t="s">
        <v>409</v>
      </c>
      <c r="N2902" s="338"/>
      <c r="O2902" s="338" t="s">
        <v>409</v>
      </c>
      <c r="P2902" s="338" t="s">
        <v>417</v>
      </c>
    </row>
    <row r="2903" spans="2:16" x14ac:dyDescent="0.25">
      <c r="B2903" s="336" t="s">
        <v>416</v>
      </c>
      <c r="C2903" s="337">
        <v>39512</v>
      </c>
      <c r="D2903" s="338" t="s">
        <v>4147</v>
      </c>
      <c r="E2903" s="336" t="s">
        <v>4116</v>
      </c>
      <c r="F2903" s="338"/>
      <c r="G2903" s="338">
        <v>6</v>
      </c>
      <c r="H2903" s="338" t="s">
        <v>429</v>
      </c>
      <c r="I2903" s="338" t="s">
        <v>411</v>
      </c>
      <c r="J2903" s="339"/>
      <c r="K2903" s="339"/>
      <c r="L2903" s="339" t="s">
        <v>409</v>
      </c>
      <c r="M2903" s="339" t="s">
        <v>409</v>
      </c>
      <c r="N2903" s="338"/>
      <c r="O2903" s="338" t="s">
        <v>409</v>
      </c>
      <c r="P2903" s="338" t="s">
        <v>443</v>
      </c>
    </row>
    <row r="2904" spans="2:16" x14ac:dyDescent="0.25">
      <c r="B2904" s="336" t="s">
        <v>416</v>
      </c>
      <c r="C2904" s="337">
        <v>39511</v>
      </c>
      <c r="D2904" s="338" t="s">
        <v>4146</v>
      </c>
      <c r="E2904" s="336" t="s">
        <v>656</v>
      </c>
      <c r="F2904" s="338"/>
      <c r="G2904" s="338" t="s">
        <v>413</v>
      </c>
      <c r="H2904" s="338" t="s">
        <v>412</v>
      </c>
      <c r="I2904" s="338" t="s">
        <v>411</v>
      </c>
      <c r="J2904" s="339"/>
      <c r="K2904" s="339"/>
      <c r="L2904" s="339" t="s">
        <v>409</v>
      </c>
      <c r="M2904" s="339" t="s">
        <v>409</v>
      </c>
      <c r="N2904" s="338" t="s">
        <v>408</v>
      </c>
      <c r="O2904" s="338" t="s">
        <v>409</v>
      </c>
      <c r="P2904" s="338" t="s">
        <v>408</v>
      </c>
    </row>
    <row r="2905" spans="2:16" x14ac:dyDescent="0.25">
      <c r="B2905" s="336" t="s">
        <v>416</v>
      </c>
      <c r="C2905" s="337">
        <v>39511</v>
      </c>
      <c r="D2905" s="338" t="s">
        <v>4145</v>
      </c>
      <c r="E2905" s="336" t="s">
        <v>656</v>
      </c>
      <c r="F2905" s="338" t="s">
        <v>4144</v>
      </c>
      <c r="G2905" s="338">
        <v>42</v>
      </c>
      <c r="H2905" s="338" t="s">
        <v>425</v>
      </c>
      <c r="I2905" s="338" t="s">
        <v>411</v>
      </c>
      <c r="J2905" s="339"/>
      <c r="K2905" s="339"/>
      <c r="L2905" s="339">
        <v>2.25718</v>
      </c>
      <c r="M2905" s="339">
        <v>18.6922</v>
      </c>
      <c r="N2905" s="338"/>
      <c r="O2905" s="338" t="s">
        <v>408</v>
      </c>
      <c r="P2905" s="338" t="s">
        <v>408</v>
      </c>
    </row>
    <row r="2906" spans="2:16" x14ac:dyDescent="0.25">
      <c r="B2906" s="336" t="s">
        <v>416</v>
      </c>
      <c r="C2906" s="337">
        <v>39511</v>
      </c>
      <c r="D2906" s="338" t="s">
        <v>4143</v>
      </c>
      <c r="E2906" s="336" t="s">
        <v>656</v>
      </c>
      <c r="F2906" s="338"/>
      <c r="G2906" s="338" t="s">
        <v>413</v>
      </c>
      <c r="H2906" s="338" t="s">
        <v>412</v>
      </c>
      <c r="I2906" s="338" t="s">
        <v>411</v>
      </c>
      <c r="J2906" s="339"/>
      <c r="K2906" s="339"/>
      <c r="L2906" s="339" t="s">
        <v>409</v>
      </c>
      <c r="M2906" s="339" t="s">
        <v>409</v>
      </c>
      <c r="N2906" s="338" t="s">
        <v>417</v>
      </c>
      <c r="O2906" s="338" t="s">
        <v>409</v>
      </c>
      <c r="P2906" s="338" t="s">
        <v>408</v>
      </c>
    </row>
    <row r="2907" spans="2:16" x14ac:dyDescent="0.25">
      <c r="B2907" s="336" t="s">
        <v>459</v>
      </c>
      <c r="C2907" s="337">
        <v>39511</v>
      </c>
      <c r="D2907" s="338" t="s">
        <v>4142</v>
      </c>
      <c r="E2907" s="336" t="s">
        <v>4141</v>
      </c>
      <c r="F2907" s="338"/>
      <c r="G2907" s="338" t="s">
        <v>413</v>
      </c>
      <c r="H2907" s="338" t="s">
        <v>412</v>
      </c>
      <c r="I2907" s="338" t="s">
        <v>411</v>
      </c>
      <c r="J2907" s="339"/>
      <c r="K2907" s="339"/>
      <c r="L2907" s="339" t="s">
        <v>409</v>
      </c>
      <c r="M2907" s="339" t="s">
        <v>409</v>
      </c>
      <c r="N2907" s="338" t="s">
        <v>417</v>
      </c>
      <c r="O2907" s="338" t="s">
        <v>409</v>
      </c>
      <c r="P2907" s="338" t="s">
        <v>543</v>
      </c>
    </row>
    <row r="2908" spans="2:16" x14ac:dyDescent="0.25">
      <c r="B2908" s="336" t="s">
        <v>416</v>
      </c>
      <c r="C2908" s="337">
        <v>39511</v>
      </c>
      <c r="D2908" s="338" t="s">
        <v>4140</v>
      </c>
      <c r="E2908" s="336" t="s">
        <v>746</v>
      </c>
      <c r="F2908" s="338"/>
      <c r="G2908" s="338" t="s">
        <v>413</v>
      </c>
      <c r="H2908" s="338" t="s">
        <v>412</v>
      </c>
      <c r="I2908" s="338" t="s">
        <v>411</v>
      </c>
      <c r="J2908" s="339"/>
      <c r="K2908" s="339"/>
      <c r="L2908" s="339" t="s">
        <v>409</v>
      </c>
      <c r="M2908" s="339" t="s">
        <v>409</v>
      </c>
      <c r="N2908" s="338" t="s">
        <v>417</v>
      </c>
      <c r="O2908" s="338" t="s">
        <v>409</v>
      </c>
      <c r="P2908" s="338" t="s">
        <v>417</v>
      </c>
    </row>
    <row r="2909" spans="2:16" x14ac:dyDescent="0.25">
      <c r="B2909" s="336" t="s">
        <v>416</v>
      </c>
      <c r="C2909" s="337">
        <v>39510</v>
      </c>
      <c r="D2909" s="338" t="s">
        <v>4139</v>
      </c>
      <c r="E2909" s="336" t="s">
        <v>3381</v>
      </c>
      <c r="F2909" s="338" t="s">
        <v>4138</v>
      </c>
      <c r="G2909" s="338" t="s">
        <v>413</v>
      </c>
      <c r="H2909" s="338" t="s">
        <v>425</v>
      </c>
      <c r="I2909" s="338" t="s">
        <v>411</v>
      </c>
      <c r="J2909" s="339"/>
      <c r="K2909" s="339"/>
      <c r="L2909" s="339"/>
      <c r="M2909" s="339"/>
      <c r="N2909" s="338"/>
      <c r="O2909" s="338" t="s">
        <v>410</v>
      </c>
      <c r="P2909" s="338" t="s">
        <v>417</v>
      </c>
    </row>
    <row r="2910" spans="2:16" x14ac:dyDescent="0.25">
      <c r="B2910" s="336" t="s">
        <v>416</v>
      </c>
      <c r="C2910" s="337">
        <v>39510</v>
      </c>
      <c r="D2910" s="338" t="s">
        <v>4137</v>
      </c>
      <c r="E2910" s="336" t="s">
        <v>1951</v>
      </c>
      <c r="F2910" s="338"/>
      <c r="G2910" s="338" t="s">
        <v>413</v>
      </c>
      <c r="H2910" s="338" t="s">
        <v>425</v>
      </c>
      <c r="I2910" s="338" t="s">
        <v>411</v>
      </c>
      <c r="J2910" s="339"/>
      <c r="K2910" s="339"/>
      <c r="L2910" s="339" t="s">
        <v>409</v>
      </c>
      <c r="M2910" s="339" t="s">
        <v>409</v>
      </c>
      <c r="N2910" s="338"/>
      <c r="O2910" s="338" t="s">
        <v>409</v>
      </c>
      <c r="P2910" s="338" t="s">
        <v>417</v>
      </c>
    </row>
    <row r="2911" spans="2:16" x14ac:dyDescent="0.25">
      <c r="B2911" s="336" t="s">
        <v>416</v>
      </c>
      <c r="C2911" s="337">
        <v>39510</v>
      </c>
      <c r="D2911" s="338" t="s">
        <v>4136</v>
      </c>
      <c r="E2911" s="336" t="s">
        <v>2839</v>
      </c>
      <c r="F2911" s="338"/>
      <c r="G2911" s="338">
        <v>3.88</v>
      </c>
      <c r="H2911" s="338" t="s">
        <v>429</v>
      </c>
      <c r="I2911" s="338" t="s">
        <v>411</v>
      </c>
      <c r="J2911" s="339"/>
      <c r="K2911" s="339"/>
      <c r="L2911" s="339" t="s">
        <v>409</v>
      </c>
      <c r="M2911" s="339" t="s">
        <v>409</v>
      </c>
      <c r="N2911" s="338" t="s">
        <v>417</v>
      </c>
      <c r="O2911" s="338" t="s">
        <v>409</v>
      </c>
      <c r="P2911" s="338" t="s">
        <v>417</v>
      </c>
    </row>
    <row r="2912" spans="2:16" x14ac:dyDescent="0.25">
      <c r="B2912" s="336" t="s">
        <v>416</v>
      </c>
      <c r="C2912" s="337">
        <v>39508</v>
      </c>
      <c r="D2912" s="338" t="s">
        <v>4135</v>
      </c>
      <c r="E2912" s="336" t="s">
        <v>4134</v>
      </c>
      <c r="F2912" s="338"/>
      <c r="G2912" s="338" t="s">
        <v>413</v>
      </c>
      <c r="H2912" s="338" t="s">
        <v>412</v>
      </c>
      <c r="I2912" s="338" t="s">
        <v>411</v>
      </c>
      <c r="J2912" s="339"/>
      <c r="K2912" s="339"/>
      <c r="L2912" s="339" t="s">
        <v>409</v>
      </c>
      <c r="M2912" s="339" t="s">
        <v>409</v>
      </c>
      <c r="N2912" s="338" t="s">
        <v>417</v>
      </c>
      <c r="O2912" s="338" t="s">
        <v>409</v>
      </c>
      <c r="P2912" s="338" t="s">
        <v>443</v>
      </c>
    </row>
    <row r="2913" spans="2:16" x14ac:dyDescent="0.25">
      <c r="B2913" s="336" t="s">
        <v>416</v>
      </c>
      <c r="C2913" s="337">
        <v>39507</v>
      </c>
      <c r="D2913" s="338" t="s">
        <v>4133</v>
      </c>
      <c r="E2913" s="336" t="s">
        <v>4132</v>
      </c>
      <c r="F2913" s="338" t="s">
        <v>1166</v>
      </c>
      <c r="G2913" s="338" t="s">
        <v>413</v>
      </c>
      <c r="H2913" s="338" t="s">
        <v>425</v>
      </c>
      <c r="I2913" s="338" t="s">
        <v>411</v>
      </c>
      <c r="J2913" s="339"/>
      <c r="K2913" s="339"/>
      <c r="L2913" s="339">
        <v>0.46202199999999999</v>
      </c>
      <c r="M2913" s="339">
        <v>8.9121199999999998</v>
      </c>
      <c r="N2913" s="338"/>
      <c r="O2913" s="338" t="s">
        <v>410</v>
      </c>
      <c r="P2913" s="338" t="s">
        <v>417</v>
      </c>
    </row>
    <row r="2914" spans="2:16" x14ac:dyDescent="0.25">
      <c r="B2914" s="336" t="s">
        <v>416</v>
      </c>
      <c r="C2914" s="337">
        <v>39506</v>
      </c>
      <c r="D2914" s="338" t="s">
        <v>4131</v>
      </c>
      <c r="E2914" s="336" t="s">
        <v>1956</v>
      </c>
      <c r="F2914" s="338" t="s">
        <v>4130</v>
      </c>
      <c r="G2914" s="338">
        <v>153</v>
      </c>
      <c r="H2914" s="338" t="s">
        <v>425</v>
      </c>
      <c r="I2914" s="338" t="s">
        <v>411</v>
      </c>
      <c r="J2914" s="339"/>
      <c r="K2914" s="339"/>
      <c r="L2914" s="339"/>
      <c r="M2914" s="339"/>
      <c r="N2914" s="338" t="s">
        <v>417</v>
      </c>
      <c r="O2914" s="338" t="s">
        <v>432</v>
      </c>
      <c r="P2914" s="338" t="s">
        <v>432</v>
      </c>
    </row>
    <row r="2915" spans="2:16" x14ac:dyDescent="0.25">
      <c r="B2915" s="336" t="s">
        <v>1441</v>
      </c>
      <c r="C2915" s="337">
        <v>39505</v>
      </c>
      <c r="D2915" s="338" t="s">
        <v>4129</v>
      </c>
      <c r="E2915" s="336" t="s">
        <v>4128</v>
      </c>
      <c r="F2915" s="338"/>
      <c r="G2915" s="338" t="s">
        <v>413</v>
      </c>
      <c r="H2915" s="338" t="s">
        <v>425</v>
      </c>
      <c r="I2915" s="338" t="s">
        <v>411</v>
      </c>
      <c r="J2915" s="339">
        <v>9.5384799999999998</v>
      </c>
      <c r="K2915" s="339">
        <v>17.227399999999999</v>
      </c>
      <c r="L2915" s="339" t="s">
        <v>409</v>
      </c>
      <c r="M2915" s="339" t="s">
        <v>409</v>
      </c>
      <c r="N2915" s="338" t="s">
        <v>443</v>
      </c>
      <c r="O2915" s="338" t="s">
        <v>409</v>
      </c>
      <c r="P2915" s="338" t="s">
        <v>417</v>
      </c>
    </row>
    <row r="2916" spans="2:16" x14ac:dyDescent="0.25">
      <c r="B2916" s="336" t="s">
        <v>416</v>
      </c>
      <c r="C2916" s="337">
        <v>39505</v>
      </c>
      <c r="D2916" s="338" t="s">
        <v>4127</v>
      </c>
      <c r="E2916" s="336" t="s">
        <v>4126</v>
      </c>
      <c r="F2916" s="338"/>
      <c r="G2916" s="338" t="s">
        <v>413</v>
      </c>
      <c r="H2916" s="338" t="s">
        <v>425</v>
      </c>
      <c r="I2916" s="338" t="s">
        <v>411</v>
      </c>
      <c r="J2916" s="339"/>
      <c r="K2916" s="339"/>
      <c r="L2916" s="339" t="s">
        <v>409</v>
      </c>
      <c r="M2916" s="339" t="s">
        <v>409</v>
      </c>
      <c r="N2916" s="338"/>
      <c r="O2916" s="338" t="s">
        <v>409</v>
      </c>
      <c r="P2916" s="338" t="s">
        <v>417</v>
      </c>
    </row>
    <row r="2917" spans="2:16" x14ac:dyDescent="0.25">
      <c r="B2917" s="336" t="s">
        <v>416</v>
      </c>
      <c r="C2917" s="337">
        <v>39504</v>
      </c>
      <c r="D2917" s="338" t="s">
        <v>4125</v>
      </c>
      <c r="E2917" s="336" t="s">
        <v>3107</v>
      </c>
      <c r="F2917" s="338"/>
      <c r="G2917" s="338">
        <v>46.98</v>
      </c>
      <c r="H2917" s="338" t="s">
        <v>425</v>
      </c>
      <c r="I2917" s="338" t="s">
        <v>411</v>
      </c>
      <c r="J2917" s="339"/>
      <c r="K2917" s="339"/>
      <c r="L2917" s="339" t="s">
        <v>409</v>
      </c>
      <c r="M2917" s="339" t="s">
        <v>409</v>
      </c>
      <c r="N2917" s="338" t="s">
        <v>417</v>
      </c>
      <c r="O2917" s="338" t="s">
        <v>409</v>
      </c>
      <c r="P2917" s="338" t="s">
        <v>605</v>
      </c>
    </row>
    <row r="2918" spans="2:16" x14ac:dyDescent="0.25">
      <c r="B2918" s="336" t="s">
        <v>416</v>
      </c>
      <c r="C2918" s="337">
        <v>39503</v>
      </c>
      <c r="D2918" s="338" t="s">
        <v>4124</v>
      </c>
      <c r="E2918" s="336" t="s">
        <v>4123</v>
      </c>
      <c r="F2918" s="338"/>
      <c r="G2918" s="338">
        <v>8</v>
      </c>
      <c r="H2918" s="338" t="s">
        <v>696</v>
      </c>
      <c r="I2918" s="338" t="s">
        <v>411</v>
      </c>
      <c r="J2918" s="339"/>
      <c r="K2918" s="339"/>
      <c r="L2918" s="339" t="s">
        <v>409</v>
      </c>
      <c r="M2918" s="339" t="s">
        <v>409</v>
      </c>
      <c r="N2918" s="338" t="s">
        <v>410</v>
      </c>
      <c r="O2918" s="338" t="s">
        <v>409</v>
      </c>
      <c r="P2918" s="338" t="s">
        <v>417</v>
      </c>
    </row>
    <row r="2919" spans="2:16" x14ac:dyDescent="0.25">
      <c r="B2919" s="336" t="s">
        <v>459</v>
      </c>
      <c r="C2919" s="337">
        <v>39500</v>
      </c>
      <c r="D2919" s="338" t="s">
        <v>4122</v>
      </c>
      <c r="E2919" s="336" t="s">
        <v>514</v>
      </c>
      <c r="F2919" s="338" t="s">
        <v>4121</v>
      </c>
      <c r="G2919" s="338" t="s">
        <v>413</v>
      </c>
      <c r="H2919" s="338" t="s">
        <v>412</v>
      </c>
      <c r="I2919" s="338" t="s">
        <v>411</v>
      </c>
      <c r="J2919" s="339"/>
      <c r="K2919" s="339"/>
      <c r="L2919" s="339"/>
      <c r="M2919" s="339"/>
      <c r="N2919" s="338" t="s">
        <v>417</v>
      </c>
      <c r="O2919" s="338" t="s">
        <v>543</v>
      </c>
      <c r="P2919" s="338"/>
    </row>
    <row r="2920" spans="2:16" x14ac:dyDescent="0.25">
      <c r="B2920" s="336" t="s">
        <v>416</v>
      </c>
      <c r="C2920" s="337">
        <v>39500</v>
      </c>
      <c r="D2920" s="338" t="s">
        <v>1419</v>
      </c>
      <c r="E2920" s="336" t="s">
        <v>4120</v>
      </c>
      <c r="F2920" s="338" t="s">
        <v>1281</v>
      </c>
      <c r="G2920" s="338" t="s">
        <v>413</v>
      </c>
      <c r="H2920" s="338" t="s">
        <v>412</v>
      </c>
      <c r="I2920" s="338" t="s">
        <v>411</v>
      </c>
      <c r="J2920" s="339"/>
      <c r="K2920" s="339"/>
      <c r="L2920" s="339">
        <v>4.1428000000000003</v>
      </c>
      <c r="M2920" s="339">
        <v>13.5078</v>
      </c>
      <c r="N2920" s="338" t="s">
        <v>417</v>
      </c>
      <c r="O2920" s="338" t="s">
        <v>605</v>
      </c>
      <c r="P2920" s="338" t="s">
        <v>432</v>
      </c>
    </row>
    <row r="2921" spans="2:16" x14ac:dyDescent="0.25">
      <c r="B2921" s="336" t="s">
        <v>542</v>
      </c>
      <c r="C2921" s="337">
        <v>39498</v>
      </c>
      <c r="D2921" s="338" t="s">
        <v>2380</v>
      </c>
      <c r="E2921" s="336" t="s">
        <v>539</v>
      </c>
      <c r="F2921" s="338"/>
      <c r="G2921" s="338">
        <v>76</v>
      </c>
      <c r="H2921" s="338"/>
      <c r="I2921" s="338" t="s">
        <v>411</v>
      </c>
      <c r="J2921" s="339">
        <v>0.24058099999999999</v>
      </c>
      <c r="K2921" s="339">
        <v>4.5804200000000002</v>
      </c>
      <c r="L2921" s="339" t="s">
        <v>409</v>
      </c>
      <c r="M2921" s="339" t="s">
        <v>409</v>
      </c>
      <c r="N2921" s="338" t="s">
        <v>417</v>
      </c>
      <c r="O2921" s="338" t="s">
        <v>409</v>
      </c>
      <c r="P2921" s="338" t="s">
        <v>417</v>
      </c>
    </row>
    <row r="2922" spans="2:16" x14ac:dyDescent="0.25">
      <c r="B2922" s="336" t="s">
        <v>459</v>
      </c>
      <c r="C2922" s="337">
        <v>39498</v>
      </c>
      <c r="D2922" s="338" t="s">
        <v>4119</v>
      </c>
      <c r="E2922" s="336" t="s">
        <v>4118</v>
      </c>
      <c r="F2922" s="338"/>
      <c r="G2922" s="338" t="s">
        <v>413</v>
      </c>
      <c r="H2922" s="338" t="s">
        <v>425</v>
      </c>
      <c r="I2922" s="338" t="s">
        <v>411</v>
      </c>
      <c r="J2922" s="339"/>
      <c r="K2922" s="339"/>
      <c r="L2922" s="339" t="s">
        <v>409</v>
      </c>
      <c r="M2922" s="339" t="s">
        <v>409</v>
      </c>
      <c r="N2922" s="338" t="s">
        <v>417</v>
      </c>
      <c r="O2922" s="338" t="s">
        <v>409</v>
      </c>
      <c r="P2922" s="338" t="s">
        <v>443</v>
      </c>
    </row>
    <row r="2923" spans="2:16" x14ac:dyDescent="0.25">
      <c r="B2923" s="336" t="s">
        <v>416</v>
      </c>
      <c r="C2923" s="337">
        <v>39497</v>
      </c>
      <c r="D2923" s="338" t="s">
        <v>4117</v>
      </c>
      <c r="E2923" s="336" t="s">
        <v>4116</v>
      </c>
      <c r="F2923" s="338"/>
      <c r="G2923" s="338" t="s">
        <v>413</v>
      </c>
      <c r="H2923" s="338" t="s">
        <v>412</v>
      </c>
      <c r="I2923" s="338" t="s">
        <v>411</v>
      </c>
      <c r="J2923" s="339"/>
      <c r="K2923" s="339"/>
      <c r="L2923" s="339" t="s">
        <v>409</v>
      </c>
      <c r="M2923" s="339" t="s">
        <v>409</v>
      </c>
      <c r="N2923" s="338" t="s">
        <v>417</v>
      </c>
      <c r="O2923" s="338" t="s">
        <v>409</v>
      </c>
      <c r="P2923" s="338" t="s">
        <v>443</v>
      </c>
    </row>
    <row r="2924" spans="2:16" x14ac:dyDescent="0.25">
      <c r="B2924" s="336" t="s">
        <v>416</v>
      </c>
      <c r="C2924" s="337">
        <v>39497</v>
      </c>
      <c r="D2924" s="338" t="s">
        <v>4115</v>
      </c>
      <c r="E2924" s="336" t="s">
        <v>4114</v>
      </c>
      <c r="F2924" s="338" t="s">
        <v>4113</v>
      </c>
      <c r="G2924" s="338" t="s">
        <v>413</v>
      </c>
      <c r="H2924" s="338" t="s">
        <v>412</v>
      </c>
      <c r="I2924" s="338" t="s">
        <v>411</v>
      </c>
      <c r="J2924" s="339"/>
      <c r="K2924" s="339"/>
      <c r="L2924" s="339"/>
      <c r="M2924" s="339"/>
      <c r="N2924" s="338"/>
      <c r="O2924" s="338" t="s">
        <v>417</v>
      </c>
      <c r="P2924" s="338" t="s">
        <v>417</v>
      </c>
    </row>
    <row r="2925" spans="2:16" x14ac:dyDescent="0.25">
      <c r="B2925" s="336" t="s">
        <v>416</v>
      </c>
      <c r="C2925" s="337">
        <v>39497</v>
      </c>
      <c r="D2925" s="338" t="s">
        <v>4112</v>
      </c>
      <c r="E2925" s="336" t="s">
        <v>4111</v>
      </c>
      <c r="F2925" s="338" t="s">
        <v>4110</v>
      </c>
      <c r="G2925" s="338">
        <v>90</v>
      </c>
      <c r="H2925" s="338" t="s">
        <v>425</v>
      </c>
      <c r="I2925" s="338" t="s">
        <v>411</v>
      </c>
      <c r="J2925" s="339"/>
      <c r="K2925" s="339"/>
      <c r="L2925" s="339">
        <v>0.27216000000000001</v>
      </c>
      <c r="M2925" s="339">
        <v>5.9638499999999999</v>
      </c>
      <c r="N2925" s="338"/>
      <c r="O2925" s="338" t="s">
        <v>487</v>
      </c>
      <c r="P2925" s="338"/>
    </row>
    <row r="2926" spans="2:16" x14ac:dyDescent="0.25">
      <c r="B2926" s="336" t="s">
        <v>416</v>
      </c>
      <c r="C2926" s="337">
        <v>39493</v>
      </c>
      <c r="D2926" s="338" t="s">
        <v>4109</v>
      </c>
      <c r="E2926" s="336" t="s">
        <v>4103</v>
      </c>
      <c r="F2926" s="338"/>
      <c r="G2926" s="338" t="s">
        <v>413</v>
      </c>
      <c r="H2926" s="338" t="s">
        <v>425</v>
      </c>
      <c r="I2926" s="338" t="s">
        <v>411</v>
      </c>
      <c r="J2926" s="339"/>
      <c r="K2926" s="339"/>
      <c r="L2926" s="339" t="s">
        <v>409</v>
      </c>
      <c r="M2926" s="339" t="s">
        <v>409</v>
      </c>
      <c r="N2926" s="338" t="s">
        <v>417</v>
      </c>
      <c r="O2926" s="338" t="s">
        <v>409</v>
      </c>
      <c r="P2926" s="338" t="s">
        <v>417</v>
      </c>
    </row>
    <row r="2927" spans="2:16" x14ac:dyDescent="0.25">
      <c r="B2927" s="336" t="s">
        <v>416</v>
      </c>
      <c r="C2927" s="337">
        <v>39493</v>
      </c>
      <c r="D2927" s="338" t="s">
        <v>2201</v>
      </c>
      <c r="E2927" s="336" t="s">
        <v>4108</v>
      </c>
      <c r="F2927" s="338"/>
      <c r="G2927" s="338">
        <v>3.6</v>
      </c>
      <c r="H2927" s="338" t="s">
        <v>418</v>
      </c>
      <c r="I2927" s="338" t="s">
        <v>411</v>
      </c>
      <c r="J2927" s="339"/>
      <c r="K2927" s="339"/>
      <c r="L2927" s="339" t="s">
        <v>409</v>
      </c>
      <c r="M2927" s="339" t="s">
        <v>409</v>
      </c>
      <c r="N2927" s="338" t="s">
        <v>417</v>
      </c>
      <c r="O2927" s="338" t="s">
        <v>409</v>
      </c>
      <c r="P2927" s="338" t="s">
        <v>417</v>
      </c>
    </row>
    <row r="2928" spans="2:16" x14ac:dyDescent="0.25">
      <c r="B2928" s="336" t="s">
        <v>416</v>
      </c>
      <c r="C2928" s="337">
        <v>39493</v>
      </c>
      <c r="D2928" s="338" t="s">
        <v>4107</v>
      </c>
      <c r="E2928" s="336" t="s">
        <v>1862</v>
      </c>
      <c r="F2928" s="338"/>
      <c r="G2928" s="338" t="s">
        <v>413</v>
      </c>
      <c r="H2928" s="338" t="s">
        <v>425</v>
      </c>
      <c r="I2928" s="338" t="s">
        <v>411</v>
      </c>
      <c r="J2928" s="339"/>
      <c r="K2928" s="339"/>
      <c r="L2928" s="339" t="s">
        <v>409</v>
      </c>
      <c r="M2928" s="339" t="s">
        <v>409</v>
      </c>
      <c r="N2928" s="338" t="s">
        <v>417</v>
      </c>
      <c r="O2928" s="338" t="s">
        <v>409</v>
      </c>
      <c r="P2928" s="338" t="s">
        <v>443</v>
      </c>
    </row>
    <row r="2929" spans="2:16" x14ac:dyDescent="0.25">
      <c r="B2929" s="336" t="s">
        <v>416</v>
      </c>
      <c r="C2929" s="337">
        <v>39493</v>
      </c>
      <c r="D2929" s="338" t="s">
        <v>4106</v>
      </c>
      <c r="E2929" s="336" t="s">
        <v>4105</v>
      </c>
      <c r="F2929" s="338"/>
      <c r="G2929" s="338">
        <v>5.5</v>
      </c>
      <c r="H2929" s="338" t="s">
        <v>425</v>
      </c>
      <c r="I2929" s="338" t="s">
        <v>411</v>
      </c>
      <c r="J2929" s="339"/>
      <c r="K2929" s="339"/>
      <c r="L2929" s="339" t="s">
        <v>409</v>
      </c>
      <c r="M2929" s="339" t="s">
        <v>409</v>
      </c>
      <c r="N2929" s="338"/>
      <c r="O2929" s="338" t="s">
        <v>409</v>
      </c>
      <c r="P2929" s="338" t="s">
        <v>443</v>
      </c>
    </row>
    <row r="2930" spans="2:16" x14ac:dyDescent="0.25">
      <c r="B2930" s="336" t="s">
        <v>416</v>
      </c>
      <c r="C2930" s="337">
        <v>39493</v>
      </c>
      <c r="D2930" s="338" t="s">
        <v>4104</v>
      </c>
      <c r="E2930" s="336" t="s">
        <v>4103</v>
      </c>
      <c r="F2930" s="338"/>
      <c r="G2930" s="338" t="s">
        <v>413</v>
      </c>
      <c r="H2930" s="338" t="s">
        <v>425</v>
      </c>
      <c r="I2930" s="338" t="s">
        <v>411</v>
      </c>
      <c r="J2930" s="339"/>
      <c r="K2930" s="339"/>
      <c r="L2930" s="339" t="s">
        <v>409</v>
      </c>
      <c r="M2930" s="339" t="s">
        <v>409</v>
      </c>
      <c r="N2930" s="338" t="s">
        <v>417</v>
      </c>
      <c r="O2930" s="338" t="s">
        <v>409</v>
      </c>
      <c r="P2930" s="338" t="s">
        <v>417</v>
      </c>
    </row>
    <row r="2931" spans="2:16" x14ac:dyDescent="0.25">
      <c r="B2931" s="336" t="s">
        <v>416</v>
      </c>
      <c r="C2931" s="337">
        <v>39492</v>
      </c>
      <c r="D2931" s="338" t="s">
        <v>4102</v>
      </c>
      <c r="E2931" s="336" t="s">
        <v>4101</v>
      </c>
      <c r="F2931" s="338" t="s">
        <v>2764</v>
      </c>
      <c r="G2931" s="338">
        <v>27.3</v>
      </c>
      <c r="H2931" s="338" t="s">
        <v>425</v>
      </c>
      <c r="I2931" s="338" t="s">
        <v>411</v>
      </c>
      <c r="J2931" s="339"/>
      <c r="K2931" s="339"/>
      <c r="L2931" s="339">
        <v>2.5831599999999999</v>
      </c>
      <c r="M2931" s="339">
        <v>418.44600000000003</v>
      </c>
      <c r="N2931" s="338" t="s">
        <v>417</v>
      </c>
      <c r="O2931" s="338" t="s">
        <v>417</v>
      </c>
      <c r="P2931" s="338"/>
    </row>
    <row r="2932" spans="2:16" x14ac:dyDescent="0.25">
      <c r="B2932" s="336" t="s">
        <v>416</v>
      </c>
      <c r="C2932" s="337">
        <v>39492</v>
      </c>
      <c r="D2932" s="338" t="s">
        <v>4100</v>
      </c>
      <c r="E2932" s="336" t="s">
        <v>4099</v>
      </c>
      <c r="F2932" s="338"/>
      <c r="G2932" s="338">
        <v>40</v>
      </c>
      <c r="H2932" s="338" t="s">
        <v>425</v>
      </c>
      <c r="I2932" s="338" t="s">
        <v>411</v>
      </c>
      <c r="J2932" s="339"/>
      <c r="K2932" s="339"/>
      <c r="L2932" s="339" t="s">
        <v>409</v>
      </c>
      <c r="M2932" s="339" t="s">
        <v>409</v>
      </c>
      <c r="N2932" s="338" t="s">
        <v>417</v>
      </c>
      <c r="O2932" s="338" t="s">
        <v>409</v>
      </c>
      <c r="P2932" s="338" t="s">
        <v>417</v>
      </c>
    </row>
    <row r="2933" spans="2:16" x14ac:dyDescent="0.25">
      <c r="B2933" s="336" t="s">
        <v>416</v>
      </c>
      <c r="C2933" s="337">
        <v>39492</v>
      </c>
      <c r="D2933" s="338" t="s">
        <v>4098</v>
      </c>
      <c r="E2933" s="336" t="s">
        <v>4097</v>
      </c>
      <c r="F2933" s="338" t="s">
        <v>4096</v>
      </c>
      <c r="G2933" s="338" t="s">
        <v>413</v>
      </c>
      <c r="H2933" s="338" t="s">
        <v>425</v>
      </c>
      <c r="I2933" s="338" t="s">
        <v>411</v>
      </c>
      <c r="J2933" s="339"/>
      <c r="K2933" s="339"/>
      <c r="L2933" s="339">
        <v>2.2414499999999999</v>
      </c>
      <c r="M2933" s="339">
        <v>12.802899999999999</v>
      </c>
      <c r="N2933" s="338"/>
      <c r="O2933" s="338" t="s">
        <v>410</v>
      </c>
      <c r="P2933" s="338" t="s">
        <v>417</v>
      </c>
    </row>
    <row r="2934" spans="2:16" x14ac:dyDescent="0.25">
      <c r="B2934" s="336" t="s">
        <v>416</v>
      </c>
      <c r="C2934" s="337">
        <v>39492</v>
      </c>
      <c r="D2934" s="338" t="s">
        <v>4095</v>
      </c>
      <c r="E2934" s="336" t="s">
        <v>2438</v>
      </c>
      <c r="F2934" s="338" t="s">
        <v>1281</v>
      </c>
      <c r="G2934" s="338">
        <v>200</v>
      </c>
      <c r="H2934" s="338" t="s">
        <v>425</v>
      </c>
      <c r="I2934" s="338" t="s">
        <v>411</v>
      </c>
      <c r="J2934" s="339"/>
      <c r="K2934" s="339"/>
      <c r="L2934" s="339">
        <v>4.1428000000000003</v>
      </c>
      <c r="M2934" s="339">
        <v>13.5078</v>
      </c>
      <c r="N2934" s="338"/>
      <c r="O2934" s="338" t="s">
        <v>605</v>
      </c>
      <c r="P2934" s="338" t="s">
        <v>443</v>
      </c>
    </row>
    <row r="2935" spans="2:16" x14ac:dyDescent="0.25">
      <c r="B2935" s="336" t="s">
        <v>416</v>
      </c>
      <c r="C2935" s="337">
        <v>39492</v>
      </c>
      <c r="D2935" s="338" t="s">
        <v>4094</v>
      </c>
      <c r="E2935" s="336" t="s">
        <v>4093</v>
      </c>
      <c r="F2935" s="338"/>
      <c r="G2935" s="338" t="s">
        <v>413</v>
      </c>
      <c r="H2935" s="338" t="s">
        <v>412</v>
      </c>
      <c r="I2935" s="338" t="s">
        <v>411</v>
      </c>
      <c r="J2935" s="339"/>
      <c r="K2935" s="339"/>
      <c r="L2935" s="339" t="s">
        <v>409</v>
      </c>
      <c r="M2935" s="339" t="s">
        <v>409</v>
      </c>
      <c r="N2935" s="338" t="s">
        <v>417</v>
      </c>
      <c r="O2935" s="338" t="s">
        <v>409</v>
      </c>
      <c r="P2935" s="338" t="s">
        <v>605</v>
      </c>
    </row>
    <row r="2936" spans="2:16" x14ac:dyDescent="0.25">
      <c r="B2936" s="336" t="s">
        <v>459</v>
      </c>
      <c r="C2936" s="337">
        <v>39491</v>
      </c>
      <c r="D2936" s="338" t="s">
        <v>4092</v>
      </c>
      <c r="E2936" s="336" t="s">
        <v>716</v>
      </c>
      <c r="F2936" s="338"/>
      <c r="G2936" s="338" t="s">
        <v>413</v>
      </c>
      <c r="H2936" s="338" t="s">
        <v>429</v>
      </c>
      <c r="I2936" s="338" t="s">
        <v>411</v>
      </c>
      <c r="J2936" s="339"/>
      <c r="K2936" s="339"/>
      <c r="L2936" s="339" t="s">
        <v>409</v>
      </c>
      <c r="M2936" s="339" t="s">
        <v>409</v>
      </c>
      <c r="N2936" s="338"/>
      <c r="O2936" s="338" t="s">
        <v>409</v>
      </c>
      <c r="P2936" s="338" t="s">
        <v>443</v>
      </c>
    </row>
    <row r="2937" spans="2:16" x14ac:dyDescent="0.25">
      <c r="B2937" s="336" t="s">
        <v>416</v>
      </c>
      <c r="C2937" s="337">
        <v>39491</v>
      </c>
      <c r="D2937" s="338" t="s">
        <v>4091</v>
      </c>
      <c r="E2937" s="336" t="s">
        <v>4090</v>
      </c>
      <c r="F2937" s="338" t="s">
        <v>4089</v>
      </c>
      <c r="G2937" s="338" t="s">
        <v>413</v>
      </c>
      <c r="H2937" s="338" t="s">
        <v>412</v>
      </c>
      <c r="I2937" s="338" t="s">
        <v>411</v>
      </c>
      <c r="J2937" s="339"/>
      <c r="K2937" s="339"/>
      <c r="L2937" s="339"/>
      <c r="M2937" s="339"/>
      <c r="N2937" s="338" t="s">
        <v>417</v>
      </c>
      <c r="O2937" s="338" t="s">
        <v>417</v>
      </c>
      <c r="P2937" s="338" t="s">
        <v>417</v>
      </c>
    </row>
    <row r="2938" spans="2:16" x14ac:dyDescent="0.25">
      <c r="B2938" s="336" t="s">
        <v>416</v>
      </c>
      <c r="C2938" s="337">
        <v>39491</v>
      </c>
      <c r="D2938" s="338" t="s">
        <v>4088</v>
      </c>
      <c r="E2938" s="336" t="s">
        <v>2839</v>
      </c>
      <c r="F2938" s="338"/>
      <c r="G2938" s="338" t="s">
        <v>413</v>
      </c>
      <c r="H2938" s="338" t="s">
        <v>412</v>
      </c>
      <c r="I2938" s="338" t="s">
        <v>411</v>
      </c>
      <c r="J2938" s="339"/>
      <c r="K2938" s="339"/>
      <c r="L2938" s="339" t="s">
        <v>409</v>
      </c>
      <c r="M2938" s="339" t="s">
        <v>409</v>
      </c>
      <c r="N2938" s="338" t="s">
        <v>417</v>
      </c>
      <c r="O2938" s="338" t="s">
        <v>409</v>
      </c>
      <c r="P2938" s="338" t="s">
        <v>417</v>
      </c>
    </row>
    <row r="2939" spans="2:16" x14ac:dyDescent="0.25">
      <c r="B2939" s="336" t="s">
        <v>416</v>
      </c>
      <c r="C2939" s="337">
        <v>39490</v>
      </c>
      <c r="D2939" s="338" t="s">
        <v>4087</v>
      </c>
      <c r="E2939" s="336" t="s">
        <v>1026</v>
      </c>
      <c r="F2939" s="338" t="s">
        <v>4086</v>
      </c>
      <c r="G2939" s="338" t="s">
        <v>413</v>
      </c>
      <c r="H2939" s="338" t="s">
        <v>425</v>
      </c>
      <c r="I2939" s="338" t="s">
        <v>411</v>
      </c>
      <c r="J2939" s="339"/>
      <c r="K2939" s="339"/>
      <c r="L2939" s="339"/>
      <c r="M2939" s="339"/>
      <c r="N2939" s="338"/>
      <c r="O2939" s="338"/>
      <c r="P2939" s="338" t="s">
        <v>443</v>
      </c>
    </row>
    <row r="2940" spans="2:16" x14ac:dyDescent="0.25">
      <c r="B2940" s="336" t="s">
        <v>416</v>
      </c>
      <c r="C2940" s="337">
        <v>39490</v>
      </c>
      <c r="D2940" s="338" t="s">
        <v>4085</v>
      </c>
      <c r="E2940" s="336" t="s">
        <v>4084</v>
      </c>
      <c r="F2940" s="338" t="s">
        <v>1445</v>
      </c>
      <c r="G2940" s="338" t="s">
        <v>413</v>
      </c>
      <c r="H2940" s="338" t="s">
        <v>425</v>
      </c>
      <c r="I2940" s="338" t="s">
        <v>411</v>
      </c>
      <c r="J2940" s="339"/>
      <c r="K2940" s="339"/>
      <c r="L2940" s="339"/>
      <c r="M2940" s="339"/>
      <c r="N2940" s="338"/>
      <c r="O2940" s="338" t="s">
        <v>417</v>
      </c>
      <c r="P2940" s="338" t="s">
        <v>443</v>
      </c>
    </row>
    <row r="2941" spans="2:16" x14ac:dyDescent="0.25">
      <c r="B2941" s="336" t="s">
        <v>416</v>
      </c>
      <c r="C2941" s="337">
        <v>39486</v>
      </c>
      <c r="D2941" s="338" t="s">
        <v>4083</v>
      </c>
      <c r="E2941" s="336" t="s">
        <v>4082</v>
      </c>
      <c r="F2941" s="338"/>
      <c r="G2941" s="338" t="s">
        <v>413</v>
      </c>
      <c r="H2941" s="338" t="s">
        <v>412</v>
      </c>
      <c r="I2941" s="338" t="s">
        <v>411</v>
      </c>
      <c r="J2941" s="339"/>
      <c r="K2941" s="339"/>
      <c r="L2941" s="339" t="s">
        <v>409</v>
      </c>
      <c r="M2941" s="339" t="s">
        <v>409</v>
      </c>
      <c r="N2941" s="338" t="s">
        <v>417</v>
      </c>
      <c r="O2941" s="338" t="s">
        <v>409</v>
      </c>
      <c r="P2941" s="338" t="s">
        <v>410</v>
      </c>
    </row>
    <row r="2942" spans="2:16" x14ac:dyDescent="0.25">
      <c r="B2942" s="336" t="s">
        <v>416</v>
      </c>
      <c r="C2942" s="337">
        <v>39485</v>
      </c>
      <c r="D2942" s="338" t="s">
        <v>4081</v>
      </c>
      <c r="E2942" s="336" t="s">
        <v>4080</v>
      </c>
      <c r="F2942" s="338"/>
      <c r="G2942" s="338" t="s">
        <v>413</v>
      </c>
      <c r="H2942" s="338" t="s">
        <v>336</v>
      </c>
      <c r="I2942" s="338" t="s">
        <v>411</v>
      </c>
      <c r="J2942" s="339"/>
      <c r="K2942" s="339"/>
      <c r="L2942" s="339" t="s">
        <v>409</v>
      </c>
      <c r="M2942" s="339" t="s">
        <v>409</v>
      </c>
      <c r="N2942" s="338" t="s">
        <v>417</v>
      </c>
      <c r="O2942" s="338" t="s">
        <v>409</v>
      </c>
      <c r="P2942" s="338" t="s">
        <v>417</v>
      </c>
    </row>
    <row r="2943" spans="2:16" x14ac:dyDescent="0.25">
      <c r="B2943" s="336" t="s">
        <v>416</v>
      </c>
      <c r="C2943" s="337">
        <v>39484</v>
      </c>
      <c r="D2943" s="338" t="s">
        <v>4079</v>
      </c>
      <c r="E2943" s="336" t="s">
        <v>4078</v>
      </c>
      <c r="F2943" s="338" t="s">
        <v>831</v>
      </c>
      <c r="G2943" s="338">
        <v>22</v>
      </c>
      <c r="H2943" s="338" t="s">
        <v>425</v>
      </c>
      <c r="I2943" s="338" t="s">
        <v>411</v>
      </c>
      <c r="J2943" s="339"/>
      <c r="K2943" s="339"/>
      <c r="L2943" s="339">
        <v>1.53552</v>
      </c>
      <c r="M2943" s="339">
        <v>11.0791</v>
      </c>
      <c r="N2943" s="338"/>
      <c r="O2943" s="338" t="s">
        <v>417</v>
      </c>
      <c r="P2943" s="338" t="s">
        <v>443</v>
      </c>
    </row>
    <row r="2944" spans="2:16" x14ac:dyDescent="0.25">
      <c r="B2944" s="336" t="s">
        <v>416</v>
      </c>
      <c r="C2944" s="337">
        <v>39484</v>
      </c>
      <c r="D2944" s="338" t="s">
        <v>4077</v>
      </c>
      <c r="E2944" s="336" t="s">
        <v>3495</v>
      </c>
      <c r="F2944" s="338"/>
      <c r="G2944" s="338" t="s">
        <v>413</v>
      </c>
      <c r="H2944" s="338" t="s">
        <v>425</v>
      </c>
      <c r="I2944" s="338" t="s">
        <v>411</v>
      </c>
      <c r="J2944" s="339"/>
      <c r="K2944" s="339"/>
      <c r="L2944" s="339" t="s">
        <v>409</v>
      </c>
      <c r="M2944" s="339" t="s">
        <v>409</v>
      </c>
      <c r="N2944" s="338" t="s">
        <v>417</v>
      </c>
      <c r="O2944" s="338" t="s">
        <v>409</v>
      </c>
      <c r="P2944" s="338" t="s">
        <v>443</v>
      </c>
    </row>
    <row r="2945" spans="2:16" x14ac:dyDescent="0.25">
      <c r="B2945" s="336" t="s">
        <v>416</v>
      </c>
      <c r="C2945" s="337">
        <v>39482</v>
      </c>
      <c r="D2945" s="338" t="s">
        <v>4076</v>
      </c>
      <c r="E2945" s="336" t="s">
        <v>1879</v>
      </c>
      <c r="F2945" s="338"/>
      <c r="G2945" s="338">
        <v>103</v>
      </c>
      <c r="H2945" s="338" t="s">
        <v>425</v>
      </c>
      <c r="I2945" s="338" t="s">
        <v>411</v>
      </c>
      <c r="J2945" s="339"/>
      <c r="K2945" s="339"/>
      <c r="L2945" s="339" t="s">
        <v>409</v>
      </c>
      <c r="M2945" s="339" t="s">
        <v>409</v>
      </c>
      <c r="N2945" s="338" t="s">
        <v>417</v>
      </c>
      <c r="O2945" s="338" t="s">
        <v>409</v>
      </c>
      <c r="P2945" s="338" t="s">
        <v>443</v>
      </c>
    </row>
    <row r="2946" spans="2:16" x14ac:dyDescent="0.25">
      <c r="B2946" s="336" t="s">
        <v>416</v>
      </c>
      <c r="C2946" s="337">
        <v>39479</v>
      </c>
      <c r="D2946" s="338" t="s">
        <v>880</v>
      </c>
      <c r="E2946" s="336" t="s">
        <v>1172</v>
      </c>
      <c r="F2946" s="338"/>
      <c r="G2946" s="338">
        <v>1010.34</v>
      </c>
      <c r="H2946" s="338" t="s">
        <v>429</v>
      </c>
      <c r="I2946" s="338" t="s">
        <v>411</v>
      </c>
      <c r="J2946" s="339">
        <v>0.56161799999999995</v>
      </c>
      <c r="K2946" s="339">
        <v>11.3645</v>
      </c>
      <c r="L2946" s="339" t="s">
        <v>409</v>
      </c>
      <c r="M2946" s="339" t="s">
        <v>409</v>
      </c>
      <c r="N2946" s="338" t="s">
        <v>417</v>
      </c>
      <c r="O2946" s="338" t="s">
        <v>409</v>
      </c>
      <c r="P2946" s="338" t="s">
        <v>417</v>
      </c>
    </row>
    <row r="2947" spans="2:16" x14ac:dyDescent="0.25">
      <c r="B2947" s="336" t="s">
        <v>416</v>
      </c>
      <c r="C2947" s="337">
        <v>39479</v>
      </c>
      <c r="D2947" s="338" t="s">
        <v>4075</v>
      </c>
      <c r="E2947" s="336" t="s">
        <v>447</v>
      </c>
      <c r="F2947" s="338"/>
      <c r="G2947" s="338" t="s">
        <v>413</v>
      </c>
      <c r="H2947" s="338" t="s">
        <v>412</v>
      </c>
      <c r="I2947" s="338" t="s">
        <v>411</v>
      </c>
      <c r="J2947" s="339"/>
      <c r="K2947" s="339"/>
      <c r="L2947" s="339" t="s">
        <v>409</v>
      </c>
      <c r="M2947" s="339" t="s">
        <v>409</v>
      </c>
      <c r="N2947" s="338" t="s">
        <v>417</v>
      </c>
      <c r="O2947" s="338" t="s">
        <v>409</v>
      </c>
      <c r="P2947" s="338" t="s">
        <v>417</v>
      </c>
    </row>
    <row r="2948" spans="2:16" x14ac:dyDescent="0.25">
      <c r="B2948" s="336" t="s">
        <v>416</v>
      </c>
      <c r="C2948" s="337">
        <v>39479</v>
      </c>
      <c r="D2948" s="338" t="s">
        <v>4074</v>
      </c>
      <c r="E2948" s="336" t="s">
        <v>3442</v>
      </c>
      <c r="F2948" s="338"/>
      <c r="G2948" s="338" t="s">
        <v>413</v>
      </c>
      <c r="H2948" s="338" t="s">
        <v>425</v>
      </c>
      <c r="I2948" s="338" t="s">
        <v>411</v>
      </c>
      <c r="J2948" s="339"/>
      <c r="K2948" s="339"/>
      <c r="L2948" s="339" t="s">
        <v>409</v>
      </c>
      <c r="M2948" s="339" t="s">
        <v>409</v>
      </c>
      <c r="N2948" s="338"/>
      <c r="O2948" s="338" t="s">
        <v>409</v>
      </c>
      <c r="P2948" s="338" t="s">
        <v>417</v>
      </c>
    </row>
    <row r="2949" spans="2:16" x14ac:dyDescent="0.25">
      <c r="B2949" s="336" t="s">
        <v>416</v>
      </c>
      <c r="C2949" s="337">
        <v>39479</v>
      </c>
      <c r="D2949" s="338" t="s">
        <v>4073</v>
      </c>
      <c r="E2949" s="336" t="s">
        <v>4072</v>
      </c>
      <c r="F2949" s="338" t="s">
        <v>2764</v>
      </c>
      <c r="G2949" s="338">
        <v>36.5</v>
      </c>
      <c r="H2949" s="338" t="s">
        <v>425</v>
      </c>
      <c r="I2949" s="338" t="s">
        <v>411</v>
      </c>
      <c r="J2949" s="339"/>
      <c r="K2949" s="339"/>
      <c r="L2949" s="339">
        <v>2.5831599999999999</v>
      </c>
      <c r="M2949" s="339">
        <v>418.44600000000003</v>
      </c>
      <c r="N2949" s="338" t="s">
        <v>417</v>
      </c>
      <c r="O2949" s="338" t="s">
        <v>417</v>
      </c>
      <c r="P2949" s="338"/>
    </row>
    <row r="2950" spans="2:16" x14ac:dyDescent="0.25">
      <c r="B2950" s="336" t="s">
        <v>416</v>
      </c>
      <c r="C2950" s="337">
        <v>39478</v>
      </c>
      <c r="D2950" s="338" t="s">
        <v>4071</v>
      </c>
      <c r="E2950" s="336" t="s">
        <v>2648</v>
      </c>
      <c r="F2950" s="338"/>
      <c r="G2950" s="338" t="s">
        <v>413</v>
      </c>
      <c r="H2950" s="338" t="s">
        <v>412</v>
      </c>
      <c r="I2950" s="338" t="s">
        <v>411</v>
      </c>
      <c r="J2950" s="339"/>
      <c r="K2950" s="339"/>
      <c r="L2950" s="339" t="s">
        <v>409</v>
      </c>
      <c r="M2950" s="339" t="s">
        <v>409</v>
      </c>
      <c r="N2950" s="338" t="s">
        <v>417</v>
      </c>
      <c r="O2950" s="338" t="s">
        <v>409</v>
      </c>
      <c r="P2950" s="338" t="s">
        <v>443</v>
      </c>
    </row>
    <row r="2951" spans="2:16" x14ac:dyDescent="0.25">
      <c r="B2951" s="336" t="s">
        <v>416</v>
      </c>
      <c r="C2951" s="337">
        <v>39478</v>
      </c>
      <c r="D2951" s="338" t="s">
        <v>3533</v>
      </c>
      <c r="E2951" s="336" t="s">
        <v>4070</v>
      </c>
      <c r="F2951" s="338"/>
      <c r="G2951" s="338">
        <v>18.75</v>
      </c>
      <c r="H2951" s="338" t="s">
        <v>336</v>
      </c>
      <c r="I2951" s="338" t="s">
        <v>411</v>
      </c>
      <c r="J2951" s="339"/>
      <c r="K2951" s="339"/>
      <c r="L2951" s="339" t="s">
        <v>409</v>
      </c>
      <c r="M2951" s="339" t="s">
        <v>409</v>
      </c>
      <c r="N2951" s="338" t="s">
        <v>605</v>
      </c>
      <c r="O2951" s="338" t="s">
        <v>409</v>
      </c>
      <c r="P2951" s="338" t="s">
        <v>432</v>
      </c>
    </row>
    <row r="2952" spans="2:16" x14ac:dyDescent="0.25">
      <c r="B2952" s="336" t="s">
        <v>416</v>
      </c>
      <c r="C2952" s="337">
        <v>39478</v>
      </c>
      <c r="D2952" s="338" t="s">
        <v>4069</v>
      </c>
      <c r="E2952" s="336" t="s">
        <v>2058</v>
      </c>
      <c r="F2952" s="338" t="s">
        <v>4068</v>
      </c>
      <c r="G2952" s="338">
        <v>20.9</v>
      </c>
      <c r="H2952" s="338" t="s">
        <v>425</v>
      </c>
      <c r="I2952" s="338" t="s">
        <v>411</v>
      </c>
      <c r="J2952" s="339"/>
      <c r="K2952" s="339"/>
      <c r="L2952" s="339"/>
      <c r="M2952" s="339"/>
      <c r="N2952" s="338"/>
      <c r="O2952" s="338"/>
      <c r="P2952" s="338" t="s">
        <v>417</v>
      </c>
    </row>
    <row r="2953" spans="2:16" x14ac:dyDescent="0.25">
      <c r="B2953" s="336" t="s">
        <v>416</v>
      </c>
      <c r="C2953" s="337">
        <v>39476</v>
      </c>
      <c r="D2953" s="338" t="s">
        <v>4067</v>
      </c>
      <c r="E2953" s="336" t="s">
        <v>3901</v>
      </c>
      <c r="F2953" s="338" t="s">
        <v>4066</v>
      </c>
      <c r="G2953" s="338">
        <v>93.7</v>
      </c>
      <c r="H2953" s="338" t="s">
        <v>429</v>
      </c>
      <c r="I2953" s="338" t="s">
        <v>411</v>
      </c>
      <c r="J2953" s="339"/>
      <c r="K2953" s="339"/>
      <c r="L2953" s="339"/>
      <c r="M2953" s="339"/>
      <c r="N2953" s="338" t="s">
        <v>410</v>
      </c>
      <c r="O2953" s="338" t="s">
        <v>543</v>
      </c>
      <c r="P2953" s="338" t="s">
        <v>417</v>
      </c>
    </row>
    <row r="2954" spans="2:16" x14ac:dyDescent="0.25">
      <c r="B2954" s="336" t="s">
        <v>459</v>
      </c>
      <c r="C2954" s="337">
        <v>39476</v>
      </c>
      <c r="D2954" s="338" t="s">
        <v>4065</v>
      </c>
      <c r="E2954" s="336" t="s">
        <v>4064</v>
      </c>
      <c r="F2954" s="338"/>
      <c r="G2954" s="338">
        <v>4.4000000000000004</v>
      </c>
      <c r="H2954" s="338" t="s">
        <v>425</v>
      </c>
      <c r="I2954" s="338" t="s">
        <v>411</v>
      </c>
      <c r="J2954" s="339"/>
      <c r="K2954" s="339"/>
      <c r="L2954" s="339" t="s">
        <v>409</v>
      </c>
      <c r="M2954" s="339" t="s">
        <v>409</v>
      </c>
      <c r="N2954" s="338" t="s">
        <v>417</v>
      </c>
      <c r="O2954" s="338" t="s">
        <v>409</v>
      </c>
      <c r="P2954" s="338"/>
    </row>
    <row r="2955" spans="2:16" x14ac:dyDescent="0.25">
      <c r="B2955" s="336" t="s">
        <v>416</v>
      </c>
      <c r="C2955" s="337">
        <v>39471</v>
      </c>
      <c r="D2955" s="338" t="s">
        <v>4063</v>
      </c>
      <c r="E2955" s="336" t="s">
        <v>2349</v>
      </c>
      <c r="F2955" s="338"/>
      <c r="G2955" s="338">
        <v>125</v>
      </c>
      <c r="H2955" s="338" t="s">
        <v>425</v>
      </c>
      <c r="I2955" s="338" t="s">
        <v>411</v>
      </c>
      <c r="J2955" s="339"/>
      <c r="K2955" s="339"/>
      <c r="L2955" s="339" t="s">
        <v>409</v>
      </c>
      <c r="M2955" s="339" t="s">
        <v>409</v>
      </c>
      <c r="N2955" s="338" t="s">
        <v>432</v>
      </c>
      <c r="O2955" s="338" t="s">
        <v>409</v>
      </c>
      <c r="P2955" s="338" t="s">
        <v>605</v>
      </c>
    </row>
    <row r="2956" spans="2:16" x14ac:dyDescent="0.25">
      <c r="B2956" s="336" t="s">
        <v>416</v>
      </c>
      <c r="C2956" s="337">
        <v>39470</v>
      </c>
      <c r="D2956" s="338" t="s">
        <v>4062</v>
      </c>
      <c r="E2956" s="336" t="s">
        <v>4061</v>
      </c>
      <c r="F2956" s="338" t="s">
        <v>4060</v>
      </c>
      <c r="G2956" s="338" t="s">
        <v>413</v>
      </c>
      <c r="H2956" s="338" t="s">
        <v>412</v>
      </c>
      <c r="I2956" s="338" t="s">
        <v>411</v>
      </c>
      <c r="J2956" s="339"/>
      <c r="K2956" s="339"/>
      <c r="L2956" s="339">
        <v>0.43315599999999999</v>
      </c>
      <c r="M2956" s="339">
        <v>3.6236999999999999</v>
      </c>
      <c r="N2956" s="338" t="s">
        <v>417</v>
      </c>
      <c r="O2956" s="338" t="s">
        <v>417</v>
      </c>
      <c r="P2956" s="338"/>
    </row>
    <row r="2957" spans="2:16" x14ac:dyDescent="0.25">
      <c r="B2957" s="336" t="s">
        <v>416</v>
      </c>
      <c r="C2957" s="337">
        <v>39469</v>
      </c>
      <c r="D2957" s="338" t="s">
        <v>4059</v>
      </c>
      <c r="E2957" s="336" t="s">
        <v>4058</v>
      </c>
      <c r="F2957" s="338" t="s">
        <v>2586</v>
      </c>
      <c r="G2957" s="338">
        <v>5.0999999999999996</v>
      </c>
      <c r="H2957" s="338" t="s">
        <v>425</v>
      </c>
      <c r="I2957" s="338" t="s">
        <v>411</v>
      </c>
      <c r="J2957" s="339"/>
      <c r="K2957" s="339"/>
      <c r="L2957" s="339">
        <v>3.8223400000000001</v>
      </c>
      <c r="M2957" s="339">
        <v>10.3803</v>
      </c>
      <c r="N2957" s="338" t="s">
        <v>417</v>
      </c>
      <c r="O2957" s="338" t="s">
        <v>417</v>
      </c>
      <c r="P2957" s="338" t="s">
        <v>443</v>
      </c>
    </row>
    <row r="2958" spans="2:16" x14ac:dyDescent="0.25">
      <c r="B2958" s="336" t="s">
        <v>459</v>
      </c>
      <c r="C2958" s="337">
        <v>39469</v>
      </c>
      <c r="D2958" s="338" t="s">
        <v>4057</v>
      </c>
      <c r="E2958" s="336" t="s">
        <v>4056</v>
      </c>
      <c r="F2958" s="338"/>
      <c r="G2958" s="338">
        <v>3.5</v>
      </c>
      <c r="H2958" s="338" t="s">
        <v>425</v>
      </c>
      <c r="I2958" s="338" t="s">
        <v>411</v>
      </c>
      <c r="J2958" s="339"/>
      <c r="K2958" s="339"/>
      <c r="L2958" s="339" t="s">
        <v>409</v>
      </c>
      <c r="M2958" s="339" t="s">
        <v>409</v>
      </c>
      <c r="N2958" s="338" t="s">
        <v>417</v>
      </c>
      <c r="O2958" s="338" t="s">
        <v>409</v>
      </c>
      <c r="P2958" s="338"/>
    </row>
    <row r="2959" spans="2:16" x14ac:dyDescent="0.25">
      <c r="B2959" s="336" t="s">
        <v>416</v>
      </c>
      <c r="C2959" s="337">
        <v>39469</v>
      </c>
      <c r="D2959" s="338" t="s">
        <v>4055</v>
      </c>
      <c r="E2959" s="336" t="s">
        <v>2839</v>
      </c>
      <c r="F2959" s="338"/>
      <c r="G2959" s="338" t="s">
        <v>413</v>
      </c>
      <c r="H2959" s="338" t="s">
        <v>412</v>
      </c>
      <c r="I2959" s="338" t="s">
        <v>411</v>
      </c>
      <c r="J2959" s="339"/>
      <c r="K2959" s="339"/>
      <c r="L2959" s="339" t="s">
        <v>409</v>
      </c>
      <c r="M2959" s="339" t="s">
        <v>409</v>
      </c>
      <c r="N2959" s="338" t="s">
        <v>417</v>
      </c>
      <c r="O2959" s="338" t="s">
        <v>409</v>
      </c>
      <c r="P2959" s="338" t="s">
        <v>417</v>
      </c>
    </row>
    <row r="2960" spans="2:16" x14ac:dyDescent="0.25">
      <c r="B2960" s="336" t="s">
        <v>416</v>
      </c>
      <c r="C2960" s="337">
        <v>39468</v>
      </c>
      <c r="D2960" s="338" t="s">
        <v>4054</v>
      </c>
      <c r="E2960" s="336" t="s">
        <v>4053</v>
      </c>
      <c r="F2960" s="338"/>
      <c r="G2960" s="338" t="s">
        <v>413</v>
      </c>
      <c r="H2960" s="338" t="s">
        <v>412</v>
      </c>
      <c r="I2960" s="338" t="s">
        <v>411</v>
      </c>
      <c r="J2960" s="339"/>
      <c r="K2960" s="339"/>
      <c r="L2960" s="339" t="s">
        <v>409</v>
      </c>
      <c r="M2960" s="339" t="s">
        <v>409</v>
      </c>
      <c r="N2960" s="338" t="s">
        <v>417</v>
      </c>
      <c r="O2960" s="338" t="s">
        <v>409</v>
      </c>
      <c r="P2960" s="338" t="s">
        <v>417</v>
      </c>
    </row>
    <row r="2961" spans="2:16" x14ac:dyDescent="0.25">
      <c r="B2961" s="336" t="s">
        <v>416</v>
      </c>
      <c r="C2961" s="337">
        <v>39468</v>
      </c>
      <c r="D2961" s="338" t="s">
        <v>4052</v>
      </c>
      <c r="E2961" s="336" t="s">
        <v>4051</v>
      </c>
      <c r="F2961" s="338"/>
      <c r="G2961" s="338" t="s">
        <v>413</v>
      </c>
      <c r="H2961" s="338" t="s">
        <v>412</v>
      </c>
      <c r="I2961" s="338" t="s">
        <v>411</v>
      </c>
      <c r="J2961" s="339"/>
      <c r="K2961" s="339"/>
      <c r="L2961" s="339" t="s">
        <v>409</v>
      </c>
      <c r="M2961" s="339" t="s">
        <v>409</v>
      </c>
      <c r="N2961" s="338" t="s">
        <v>417</v>
      </c>
      <c r="O2961" s="338" t="s">
        <v>409</v>
      </c>
      <c r="P2961" s="338"/>
    </row>
    <row r="2962" spans="2:16" x14ac:dyDescent="0.25">
      <c r="B2962" s="336" t="s">
        <v>416</v>
      </c>
      <c r="C2962" s="337">
        <v>39465</v>
      </c>
      <c r="D2962" s="338" t="s">
        <v>4050</v>
      </c>
      <c r="E2962" s="336" t="s">
        <v>653</v>
      </c>
      <c r="F2962" s="338"/>
      <c r="G2962" s="338" t="s">
        <v>413</v>
      </c>
      <c r="H2962" s="338" t="s">
        <v>412</v>
      </c>
      <c r="I2962" s="338" t="s">
        <v>411</v>
      </c>
      <c r="J2962" s="339"/>
      <c r="K2962" s="339"/>
      <c r="L2962" s="339" t="s">
        <v>409</v>
      </c>
      <c r="M2962" s="339" t="s">
        <v>409</v>
      </c>
      <c r="N2962" s="338" t="s">
        <v>443</v>
      </c>
      <c r="O2962" s="338" t="s">
        <v>409</v>
      </c>
      <c r="P2962" s="338" t="s">
        <v>417</v>
      </c>
    </row>
    <row r="2963" spans="2:16" x14ac:dyDescent="0.25">
      <c r="B2963" s="336" t="s">
        <v>416</v>
      </c>
      <c r="C2963" s="337">
        <v>39465</v>
      </c>
      <c r="D2963" s="338" t="s">
        <v>2673</v>
      </c>
      <c r="E2963" s="336" t="s">
        <v>669</v>
      </c>
      <c r="F2963" s="338" t="s">
        <v>1754</v>
      </c>
      <c r="G2963" s="338" t="s">
        <v>413</v>
      </c>
      <c r="H2963" s="338" t="s">
        <v>412</v>
      </c>
      <c r="I2963" s="338" t="s">
        <v>411</v>
      </c>
      <c r="J2963" s="339"/>
      <c r="K2963" s="339"/>
      <c r="L2963" s="339">
        <v>1.0402199999999999</v>
      </c>
      <c r="M2963" s="339">
        <v>13.1104</v>
      </c>
      <c r="N2963" s="338" t="s">
        <v>432</v>
      </c>
      <c r="O2963" s="338" t="s">
        <v>417</v>
      </c>
      <c r="P2963" s="338"/>
    </row>
    <row r="2964" spans="2:16" x14ac:dyDescent="0.25">
      <c r="B2964" s="336" t="s">
        <v>416</v>
      </c>
      <c r="C2964" s="337">
        <v>39465</v>
      </c>
      <c r="D2964" s="338" t="s">
        <v>4049</v>
      </c>
      <c r="E2964" s="336" t="s">
        <v>4048</v>
      </c>
      <c r="F2964" s="338"/>
      <c r="G2964" s="338" t="s">
        <v>413</v>
      </c>
      <c r="H2964" s="338" t="s">
        <v>412</v>
      </c>
      <c r="I2964" s="338" t="s">
        <v>411</v>
      </c>
      <c r="J2964" s="339"/>
      <c r="K2964" s="339"/>
      <c r="L2964" s="339" t="s">
        <v>409</v>
      </c>
      <c r="M2964" s="339" t="s">
        <v>409</v>
      </c>
      <c r="N2964" s="338" t="s">
        <v>417</v>
      </c>
      <c r="O2964" s="338" t="s">
        <v>409</v>
      </c>
      <c r="P2964" s="338" t="s">
        <v>417</v>
      </c>
    </row>
    <row r="2965" spans="2:16" x14ac:dyDescent="0.25">
      <c r="B2965" s="336" t="s">
        <v>541</v>
      </c>
      <c r="C2965" s="337">
        <v>39465</v>
      </c>
      <c r="D2965" s="338" t="s">
        <v>4047</v>
      </c>
      <c r="E2965" s="336" t="s">
        <v>539</v>
      </c>
      <c r="F2965" s="338" t="s">
        <v>4046</v>
      </c>
      <c r="G2965" s="338" t="s">
        <v>413</v>
      </c>
      <c r="H2965" s="338"/>
      <c r="I2965" s="338" t="s">
        <v>411</v>
      </c>
      <c r="J2965" s="339"/>
      <c r="K2965" s="339"/>
      <c r="L2965" s="339">
        <v>4.5696199999999996</v>
      </c>
      <c r="M2965" s="339"/>
      <c r="N2965" s="338" t="s">
        <v>417</v>
      </c>
      <c r="O2965" s="338" t="s">
        <v>410</v>
      </c>
      <c r="P2965" s="338" t="s">
        <v>409</v>
      </c>
    </row>
    <row r="2966" spans="2:16" x14ac:dyDescent="0.25">
      <c r="B2966" s="336" t="s">
        <v>416</v>
      </c>
      <c r="C2966" s="337">
        <v>39464</v>
      </c>
      <c r="D2966" s="338" t="s">
        <v>4045</v>
      </c>
      <c r="E2966" s="336" t="s">
        <v>1619</v>
      </c>
      <c r="F2966" s="338" t="s">
        <v>4044</v>
      </c>
      <c r="G2966" s="338" t="s">
        <v>413</v>
      </c>
      <c r="H2966" s="338" t="s">
        <v>425</v>
      </c>
      <c r="I2966" s="338" t="s">
        <v>411</v>
      </c>
      <c r="J2966" s="339"/>
      <c r="K2966" s="339"/>
      <c r="L2966" s="339"/>
      <c r="M2966" s="339"/>
      <c r="N2966" s="338"/>
      <c r="O2966" s="338" t="s">
        <v>410</v>
      </c>
      <c r="P2966" s="338" t="s">
        <v>417</v>
      </c>
    </row>
    <row r="2967" spans="2:16" x14ac:dyDescent="0.25">
      <c r="B2967" s="336" t="s">
        <v>416</v>
      </c>
      <c r="C2967" s="337">
        <v>39464</v>
      </c>
      <c r="D2967" s="338" t="s">
        <v>4043</v>
      </c>
      <c r="E2967" s="336" t="s">
        <v>4042</v>
      </c>
      <c r="F2967" s="338"/>
      <c r="G2967" s="338" t="s">
        <v>413</v>
      </c>
      <c r="H2967" s="338" t="s">
        <v>412</v>
      </c>
      <c r="I2967" s="338" t="s">
        <v>411</v>
      </c>
      <c r="J2967" s="339"/>
      <c r="K2967" s="339"/>
      <c r="L2967" s="339" t="s">
        <v>409</v>
      </c>
      <c r="M2967" s="339" t="s">
        <v>409</v>
      </c>
      <c r="N2967" s="338" t="s">
        <v>417</v>
      </c>
      <c r="O2967" s="338" t="s">
        <v>409</v>
      </c>
      <c r="P2967" s="338" t="s">
        <v>432</v>
      </c>
    </row>
    <row r="2968" spans="2:16" x14ac:dyDescent="0.25">
      <c r="B2968" s="336" t="s">
        <v>416</v>
      </c>
      <c r="C2968" s="337">
        <v>39464</v>
      </c>
      <c r="D2968" s="338" t="s">
        <v>4041</v>
      </c>
      <c r="E2968" s="336" t="s">
        <v>2058</v>
      </c>
      <c r="F2968" s="338"/>
      <c r="G2968" s="338">
        <v>2.2999999999999998</v>
      </c>
      <c r="H2968" s="338" t="s">
        <v>425</v>
      </c>
      <c r="I2968" s="338" t="s">
        <v>411</v>
      </c>
      <c r="J2968" s="339"/>
      <c r="K2968" s="339"/>
      <c r="L2968" s="339" t="s">
        <v>409</v>
      </c>
      <c r="M2968" s="339" t="s">
        <v>409</v>
      </c>
      <c r="N2968" s="338"/>
      <c r="O2968" s="338" t="s">
        <v>409</v>
      </c>
      <c r="P2968" s="338" t="s">
        <v>417</v>
      </c>
    </row>
    <row r="2969" spans="2:16" x14ac:dyDescent="0.25">
      <c r="B2969" s="336" t="s">
        <v>416</v>
      </c>
      <c r="C2969" s="337">
        <v>39464</v>
      </c>
      <c r="D2969" s="338" t="s">
        <v>4040</v>
      </c>
      <c r="E2969" s="336" t="s">
        <v>2058</v>
      </c>
      <c r="F2969" s="338"/>
      <c r="G2969" s="338">
        <v>5.8</v>
      </c>
      <c r="H2969" s="338" t="s">
        <v>425</v>
      </c>
      <c r="I2969" s="338" t="s">
        <v>411</v>
      </c>
      <c r="J2969" s="339"/>
      <c r="K2969" s="339"/>
      <c r="L2969" s="339" t="s">
        <v>409</v>
      </c>
      <c r="M2969" s="339" t="s">
        <v>409</v>
      </c>
      <c r="N2969" s="338"/>
      <c r="O2969" s="338" t="s">
        <v>409</v>
      </c>
      <c r="P2969" s="338" t="s">
        <v>417</v>
      </c>
    </row>
    <row r="2970" spans="2:16" x14ac:dyDescent="0.25">
      <c r="B2970" s="336" t="s">
        <v>416</v>
      </c>
      <c r="C2970" s="337">
        <v>39463</v>
      </c>
      <c r="D2970" s="338" t="s">
        <v>4039</v>
      </c>
      <c r="E2970" s="336" t="s">
        <v>3787</v>
      </c>
      <c r="F2970" s="338" t="s">
        <v>4038</v>
      </c>
      <c r="G2970" s="338" t="s">
        <v>413</v>
      </c>
      <c r="H2970" s="338" t="s">
        <v>425</v>
      </c>
      <c r="I2970" s="338" t="s">
        <v>411</v>
      </c>
      <c r="J2970" s="339"/>
      <c r="K2970" s="339"/>
      <c r="L2970" s="339"/>
      <c r="M2970" s="339"/>
      <c r="N2970" s="338"/>
      <c r="O2970" s="338" t="s">
        <v>410</v>
      </c>
      <c r="P2970" s="338" t="s">
        <v>432</v>
      </c>
    </row>
    <row r="2971" spans="2:16" x14ac:dyDescent="0.25">
      <c r="B2971" s="336" t="s">
        <v>416</v>
      </c>
      <c r="C2971" s="337">
        <v>39463</v>
      </c>
      <c r="D2971" s="338" t="s">
        <v>4037</v>
      </c>
      <c r="E2971" s="336" t="s">
        <v>4036</v>
      </c>
      <c r="F2971" s="338" t="s">
        <v>4035</v>
      </c>
      <c r="G2971" s="338">
        <v>100</v>
      </c>
      <c r="H2971" s="338" t="s">
        <v>425</v>
      </c>
      <c r="I2971" s="338" t="s">
        <v>411</v>
      </c>
      <c r="J2971" s="339"/>
      <c r="K2971" s="339"/>
      <c r="L2971" s="339"/>
      <c r="M2971" s="339"/>
      <c r="N2971" s="338" t="s">
        <v>417</v>
      </c>
      <c r="O2971" s="338"/>
      <c r="P2971" s="338"/>
    </row>
    <row r="2972" spans="2:16" x14ac:dyDescent="0.25">
      <c r="B2972" s="336" t="s">
        <v>416</v>
      </c>
      <c r="C2972" s="337">
        <v>39463</v>
      </c>
      <c r="D2972" s="338" t="s">
        <v>4034</v>
      </c>
      <c r="E2972" s="336" t="s">
        <v>4033</v>
      </c>
      <c r="F2972" s="338"/>
      <c r="G2972" s="338" t="s">
        <v>413</v>
      </c>
      <c r="H2972" s="338" t="s">
        <v>412</v>
      </c>
      <c r="I2972" s="338" t="s">
        <v>411</v>
      </c>
      <c r="J2972" s="339"/>
      <c r="K2972" s="339"/>
      <c r="L2972" s="339" t="s">
        <v>409</v>
      </c>
      <c r="M2972" s="339" t="s">
        <v>409</v>
      </c>
      <c r="N2972" s="338" t="s">
        <v>417</v>
      </c>
      <c r="O2972" s="338" t="s">
        <v>409</v>
      </c>
      <c r="P2972" s="338" t="s">
        <v>417</v>
      </c>
    </row>
    <row r="2973" spans="2:16" x14ac:dyDescent="0.25">
      <c r="B2973" s="336" t="s">
        <v>416</v>
      </c>
      <c r="C2973" s="337">
        <v>39462</v>
      </c>
      <c r="D2973" s="338" t="s">
        <v>4032</v>
      </c>
      <c r="E2973" s="336" t="s">
        <v>4031</v>
      </c>
      <c r="F2973" s="338" t="s">
        <v>4030</v>
      </c>
      <c r="G2973" s="338" t="s">
        <v>413</v>
      </c>
      <c r="H2973" s="338" t="s">
        <v>412</v>
      </c>
      <c r="I2973" s="338" t="s">
        <v>411</v>
      </c>
      <c r="J2973" s="339"/>
      <c r="K2973" s="339"/>
      <c r="L2973" s="339"/>
      <c r="M2973" s="339"/>
      <c r="N2973" s="338" t="s">
        <v>410</v>
      </c>
      <c r="O2973" s="338" t="s">
        <v>410</v>
      </c>
      <c r="P2973" s="338" t="s">
        <v>417</v>
      </c>
    </row>
    <row r="2974" spans="2:16" x14ac:dyDescent="0.25">
      <c r="B2974" s="336" t="s">
        <v>459</v>
      </c>
      <c r="C2974" s="337">
        <v>39462</v>
      </c>
      <c r="D2974" s="338" t="s">
        <v>4029</v>
      </c>
      <c r="E2974" s="336" t="s">
        <v>4028</v>
      </c>
      <c r="F2974" s="338"/>
      <c r="G2974" s="338">
        <v>2.25</v>
      </c>
      <c r="H2974" s="338" t="s">
        <v>425</v>
      </c>
      <c r="I2974" s="338" t="s">
        <v>411</v>
      </c>
      <c r="J2974" s="339"/>
      <c r="K2974" s="339"/>
      <c r="L2974" s="339" t="s">
        <v>409</v>
      </c>
      <c r="M2974" s="339" t="s">
        <v>409</v>
      </c>
      <c r="N2974" s="338" t="s">
        <v>417</v>
      </c>
      <c r="O2974" s="338" t="s">
        <v>409</v>
      </c>
      <c r="P2974" s="338"/>
    </row>
    <row r="2975" spans="2:16" x14ac:dyDescent="0.25">
      <c r="B2975" s="336" t="s">
        <v>1441</v>
      </c>
      <c r="C2975" s="337">
        <v>39462</v>
      </c>
      <c r="D2975" s="338" t="s">
        <v>3967</v>
      </c>
      <c r="E2975" s="336" t="s">
        <v>4027</v>
      </c>
      <c r="F2975" s="338"/>
      <c r="G2975" s="338" t="s">
        <v>413</v>
      </c>
      <c r="H2975" s="338" t="s">
        <v>412</v>
      </c>
      <c r="I2975" s="338" t="s">
        <v>411</v>
      </c>
      <c r="J2975" s="339">
        <v>6.8106299999999997</v>
      </c>
      <c r="K2975" s="339">
        <v>16.468699999999998</v>
      </c>
      <c r="L2975" s="339" t="s">
        <v>409</v>
      </c>
      <c r="M2975" s="339" t="s">
        <v>409</v>
      </c>
      <c r="N2975" s="338" t="s">
        <v>432</v>
      </c>
      <c r="O2975" s="338" t="s">
        <v>409</v>
      </c>
      <c r="P2975" s="338" t="s">
        <v>417</v>
      </c>
    </row>
    <row r="2976" spans="2:16" x14ac:dyDescent="0.25">
      <c r="B2976" s="336" t="s">
        <v>416</v>
      </c>
      <c r="C2976" s="337">
        <v>39462</v>
      </c>
      <c r="D2976" s="338" t="s">
        <v>4026</v>
      </c>
      <c r="E2976" s="336" t="s">
        <v>978</v>
      </c>
      <c r="F2976" s="338"/>
      <c r="G2976" s="338">
        <v>210</v>
      </c>
      <c r="H2976" s="338" t="s">
        <v>425</v>
      </c>
      <c r="I2976" s="338" t="s">
        <v>411</v>
      </c>
      <c r="J2976" s="339"/>
      <c r="K2976" s="339"/>
      <c r="L2976" s="339" t="s">
        <v>409</v>
      </c>
      <c r="M2976" s="339" t="s">
        <v>409</v>
      </c>
      <c r="N2976" s="338" t="s">
        <v>417</v>
      </c>
      <c r="O2976" s="338" t="s">
        <v>409</v>
      </c>
      <c r="P2976" s="338" t="s">
        <v>417</v>
      </c>
    </row>
    <row r="2977" spans="2:16" x14ac:dyDescent="0.25">
      <c r="B2977" s="336" t="s">
        <v>416</v>
      </c>
      <c r="C2977" s="337">
        <v>39461</v>
      </c>
      <c r="D2977" s="338" t="s">
        <v>4025</v>
      </c>
      <c r="E2977" s="336" t="s">
        <v>4024</v>
      </c>
      <c r="F2977" s="338"/>
      <c r="G2977" s="338" t="s">
        <v>413</v>
      </c>
      <c r="H2977" s="338" t="s">
        <v>425</v>
      </c>
      <c r="I2977" s="338" t="s">
        <v>411</v>
      </c>
      <c r="J2977" s="339"/>
      <c r="K2977" s="339"/>
      <c r="L2977" s="339" t="s">
        <v>409</v>
      </c>
      <c r="M2977" s="339" t="s">
        <v>409</v>
      </c>
      <c r="N2977" s="338" t="s">
        <v>417</v>
      </c>
      <c r="O2977" s="338" t="s">
        <v>409</v>
      </c>
      <c r="P2977" s="338" t="s">
        <v>443</v>
      </c>
    </row>
    <row r="2978" spans="2:16" x14ac:dyDescent="0.25">
      <c r="B2978" s="336" t="s">
        <v>459</v>
      </c>
      <c r="C2978" s="337">
        <v>39461</v>
      </c>
      <c r="D2978" s="338" t="s">
        <v>4023</v>
      </c>
      <c r="E2978" s="336" t="s">
        <v>4022</v>
      </c>
      <c r="F2978" s="338"/>
      <c r="G2978" s="338">
        <v>6</v>
      </c>
      <c r="H2978" s="338" t="s">
        <v>425</v>
      </c>
      <c r="I2978" s="338" t="s">
        <v>411</v>
      </c>
      <c r="J2978" s="339"/>
      <c r="K2978" s="339"/>
      <c r="L2978" s="339" t="s">
        <v>409</v>
      </c>
      <c r="M2978" s="339" t="s">
        <v>409</v>
      </c>
      <c r="N2978" s="338" t="s">
        <v>417</v>
      </c>
      <c r="O2978" s="338" t="s">
        <v>409</v>
      </c>
      <c r="P2978" s="338" t="s">
        <v>410</v>
      </c>
    </row>
    <row r="2979" spans="2:16" x14ac:dyDescent="0.25">
      <c r="B2979" s="336" t="s">
        <v>416</v>
      </c>
      <c r="C2979" s="337">
        <v>39455</v>
      </c>
      <c r="D2979" s="338" t="s">
        <v>4021</v>
      </c>
      <c r="E2979" s="336" t="s">
        <v>3016</v>
      </c>
      <c r="F2979" s="338" t="s">
        <v>2764</v>
      </c>
      <c r="G2979" s="338">
        <v>37</v>
      </c>
      <c r="H2979" s="338" t="s">
        <v>425</v>
      </c>
      <c r="I2979" s="338" t="s">
        <v>411</v>
      </c>
      <c r="J2979" s="339"/>
      <c r="K2979" s="339"/>
      <c r="L2979" s="339">
        <v>2.5831599999999999</v>
      </c>
      <c r="M2979" s="339">
        <v>418.44600000000003</v>
      </c>
      <c r="N2979" s="338"/>
      <c r="O2979" s="338" t="s">
        <v>417</v>
      </c>
      <c r="P2979" s="338" t="s">
        <v>417</v>
      </c>
    </row>
    <row r="2980" spans="2:16" x14ac:dyDescent="0.25">
      <c r="B2980" s="336" t="s">
        <v>416</v>
      </c>
      <c r="C2980" s="337">
        <v>39454</v>
      </c>
      <c r="D2980" s="338" t="s">
        <v>4020</v>
      </c>
      <c r="E2980" s="336" t="s">
        <v>1217</v>
      </c>
      <c r="F2980" s="338"/>
      <c r="G2980" s="338" t="s">
        <v>413</v>
      </c>
      <c r="H2980" s="338" t="s">
        <v>412</v>
      </c>
      <c r="I2980" s="338" t="s">
        <v>411</v>
      </c>
      <c r="J2980" s="339"/>
      <c r="K2980" s="339"/>
      <c r="L2980" s="339" t="s">
        <v>409</v>
      </c>
      <c r="M2980" s="339" t="s">
        <v>409</v>
      </c>
      <c r="N2980" s="338" t="s">
        <v>410</v>
      </c>
      <c r="O2980" s="338" t="s">
        <v>409</v>
      </c>
      <c r="P2980" s="338" t="s">
        <v>410</v>
      </c>
    </row>
    <row r="2981" spans="2:16" x14ac:dyDescent="0.25">
      <c r="B2981" s="336" t="s">
        <v>416</v>
      </c>
      <c r="C2981" s="337">
        <v>39454</v>
      </c>
      <c r="D2981" s="338" t="s">
        <v>4019</v>
      </c>
      <c r="E2981" s="336" t="s">
        <v>463</v>
      </c>
      <c r="F2981" s="338"/>
      <c r="G2981" s="338" t="s">
        <v>413</v>
      </c>
      <c r="H2981" s="338" t="s">
        <v>425</v>
      </c>
      <c r="I2981" s="338" t="s">
        <v>411</v>
      </c>
      <c r="J2981" s="339"/>
      <c r="K2981" s="339"/>
      <c r="L2981" s="339" t="s">
        <v>409</v>
      </c>
      <c r="M2981" s="339" t="s">
        <v>409</v>
      </c>
      <c r="N2981" s="338"/>
      <c r="O2981" s="338" t="s">
        <v>409</v>
      </c>
      <c r="P2981" s="338" t="s">
        <v>417</v>
      </c>
    </row>
    <row r="2982" spans="2:16" x14ac:dyDescent="0.25">
      <c r="B2982" s="336" t="s">
        <v>416</v>
      </c>
      <c r="C2982" s="337">
        <v>39454</v>
      </c>
      <c r="D2982" s="338" t="s">
        <v>4018</v>
      </c>
      <c r="E2982" s="336" t="s">
        <v>4017</v>
      </c>
      <c r="F2982" s="338"/>
      <c r="G2982" s="338">
        <v>25</v>
      </c>
      <c r="H2982" s="338" t="s">
        <v>425</v>
      </c>
      <c r="I2982" s="338" t="s">
        <v>411</v>
      </c>
      <c r="J2982" s="339"/>
      <c r="K2982" s="339"/>
      <c r="L2982" s="339" t="s">
        <v>409</v>
      </c>
      <c r="M2982" s="339" t="s">
        <v>409</v>
      </c>
      <c r="N2982" s="338" t="s">
        <v>487</v>
      </c>
      <c r="O2982" s="338" t="s">
        <v>409</v>
      </c>
      <c r="P2982" s="338"/>
    </row>
    <row r="2983" spans="2:16" x14ac:dyDescent="0.25">
      <c r="B2983" s="336" t="s">
        <v>416</v>
      </c>
      <c r="C2983" s="337">
        <v>39453</v>
      </c>
      <c r="D2983" s="338" t="s">
        <v>4016</v>
      </c>
      <c r="E2983" s="336" t="s">
        <v>4015</v>
      </c>
      <c r="F2983" s="338" t="s">
        <v>2648</v>
      </c>
      <c r="G2983" s="338">
        <v>30</v>
      </c>
      <c r="H2983" s="338" t="s">
        <v>425</v>
      </c>
      <c r="I2983" s="338" t="s">
        <v>411</v>
      </c>
      <c r="J2983" s="339"/>
      <c r="K2983" s="339"/>
      <c r="L2983" s="339"/>
      <c r="M2983" s="339"/>
      <c r="N2983" s="338"/>
      <c r="O2983" s="338" t="s">
        <v>443</v>
      </c>
      <c r="P2983" s="338" t="s">
        <v>417</v>
      </c>
    </row>
    <row r="2984" spans="2:16" x14ac:dyDescent="0.25">
      <c r="B2984" s="336" t="s">
        <v>416</v>
      </c>
      <c r="C2984" s="337">
        <v>39451</v>
      </c>
      <c r="D2984" s="338" t="s">
        <v>4014</v>
      </c>
      <c r="E2984" s="336" t="s">
        <v>4013</v>
      </c>
      <c r="F2984" s="338"/>
      <c r="G2984" s="338" t="s">
        <v>413</v>
      </c>
      <c r="H2984" s="338" t="s">
        <v>412</v>
      </c>
      <c r="I2984" s="338" t="s">
        <v>411</v>
      </c>
      <c r="J2984" s="339"/>
      <c r="K2984" s="339"/>
      <c r="L2984" s="339" t="s">
        <v>409</v>
      </c>
      <c r="M2984" s="339" t="s">
        <v>409</v>
      </c>
      <c r="N2984" s="338" t="s">
        <v>417</v>
      </c>
      <c r="O2984" s="338" t="s">
        <v>409</v>
      </c>
      <c r="P2984" s="338" t="s">
        <v>417</v>
      </c>
    </row>
    <row r="2985" spans="2:16" x14ac:dyDescent="0.25">
      <c r="B2985" s="336" t="s">
        <v>459</v>
      </c>
      <c r="C2985" s="337">
        <v>39450</v>
      </c>
      <c r="D2985" s="338" t="s">
        <v>3550</v>
      </c>
      <c r="E2985" s="336" t="s">
        <v>4012</v>
      </c>
      <c r="F2985" s="338"/>
      <c r="G2985" s="338">
        <v>6.72</v>
      </c>
      <c r="H2985" s="338" t="s">
        <v>425</v>
      </c>
      <c r="I2985" s="338" t="s">
        <v>411</v>
      </c>
      <c r="J2985" s="339"/>
      <c r="K2985" s="339"/>
      <c r="L2985" s="339" t="s">
        <v>409</v>
      </c>
      <c r="M2985" s="339" t="s">
        <v>409</v>
      </c>
      <c r="N2985" s="338" t="s">
        <v>417</v>
      </c>
      <c r="O2985" s="338" t="s">
        <v>409</v>
      </c>
      <c r="P2985" s="338"/>
    </row>
    <row r="2986" spans="2:16" x14ac:dyDescent="0.25">
      <c r="B2986" s="336" t="s">
        <v>416</v>
      </c>
      <c r="C2986" s="337">
        <v>39450</v>
      </c>
      <c r="D2986" s="338" t="s">
        <v>4011</v>
      </c>
      <c r="E2986" s="336" t="s">
        <v>3093</v>
      </c>
      <c r="F2986" s="338"/>
      <c r="G2986" s="338" t="s">
        <v>413</v>
      </c>
      <c r="H2986" s="338" t="s">
        <v>412</v>
      </c>
      <c r="I2986" s="338" t="s">
        <v>411</v>
      </c>
      <c r="J2986" s="339"/>
      <c r="K2986" s="339"/>
      <c r="L2986" s="339" t="s">
        <v>409</v>
      </c>
      <c r="M2986" s="339" t="s">
        <v>409</v>
      </c>
      <c r="N2986" s="338" t="s">
        <v>417</v>
      </c>
      <c r="O2986" s="338" t="s">
        <v>409</v>
      </c>
      <c r="P2986" s="338" t="s">
        <v>417</v>
      </c>
    </row>
    <row r="2987" spans="2:16" x14ac:dyDescent="0.25">
      <c r="B2987" s="336" t="s">
        <v>416</v>
      </c>
      <c r="C2987" s="337">
        <v>39450</v>
      </c>
      <c r="D2987" s="338" t="s">
        <v>4010</v>
      </c>
      <c r="E2987" s="336" t="s">
        <v>4009</v>
      </c>
      <c r="F2987" s="338" t="s">
        <v>4008</v>
      </c>
      <c r="G2987" s="338" t="s">
        <v>413</v>
      </c>
      <c r="H2987" s="338" t="s">
        <v>425</v>
      </c>
      <c r="I2987" s="338" t="s">
        <v>411</v>
      </c>
      <c r="J2987" s="339"/>
      <c r="K2987" s="339"/>
      <c r="L2987" s="339">
        <v>6.8143900000000004</v>
      </c>
      <c r="M2987" s="339">
        <v>19.3294</v>
      </c>
      <c r="N2987" s="338"/>
      <c r="O2987" s="338" t="s">
        <v>487</v>
      </c>
      <c r="P2987" s="338" t="s">
        <v>417</v>
      </c>
    </row>
    <row r="2988" spans="2:16" x14ac:dyDescent="0.25">
      <c r="B2988" s="336" t="s">
        <v>416</v>
      </c>
      <c r="C2988" s="337">
        <v>39449</v>
      </c>
      <c r="D2988" s="338" t="s">
        <v>4007</v>
      </c>
      <c r="E2988" s="336" t="s">
        <v>3093</v>
      </c>
      <c r="F2988" s="338"/>
      <c r="G2988" s="338">
        <v>3.8</v>
      </c>
      <c r="H2988" s="338" t="s">
        <v>425</v>
      </c>
      <c r="I2988" s="338" t="s">
        <v>411</v>
      </c>
      <c r="J2988" s="339"/>
      <c r="K2988" s="339"/>
      <c r="L2988" s="339" t="s">
        <v>409</v>
      </c>
      <c r="M2988" s="339" t="s">
        <v>409</v>
      </c>
      <c r="N2988" s="338"/>
      <c r="O2988" s="338" t="s">
        <v>409</v>
      </c>
      <c r="P2988" s="338" t="s">
        <v>417</v>
      </c>
    </row>
    <row r="2989" spans="2:16" x14ac:dyDescent="0.25">
      <c r="B2989" s="336" t="s">
        <v>416</v>
      </c>
      <c r="C2989" s="337">
        <v>39444</v>
      </c>
      <c r="D2989" s="338" t="s">
        <v>4006</v>
      </c>
      <c r="E2989" s="336" t="s">
        <v>4005</v>
      </c>
      <c r="F2989" s="338" t="s">
        <v>1724</v>
      </c>
      <c r="G2989" s="338">
        <v>11.8</v>
      </c>
      <c r="H2989" s="338" t="s">
        <v>425</v>
      </c>
      <c r="I2989" s="338" t="s">
        <v>411</v>
      </c>
      <c r="J2989" s="339"/>
      <c r="K2989" s="339"/>
      <c r="L2989" s="339">
        <v>2.19781</v>
      </c>
      <c r="M2989" s="339">
        <v>17.133299999999998</v>
      </c>
      <c r="N2989" s="338"/>
      <c r="O2989" s="338" t="s">
        <v>417</v>
      </c>
      <c r="P2989" s="338" t="s">
        <v>410</v>
      </c>
    </row>
    <row r="2990" spans="2:16" x14ac:dyDescent="0.25">
      <c r="B2990" s="336" t="s">
        <v>416</v>
      </c>
      <c r="C2990" s="337">
        <v>39443</v>
      </c>
      <c r="D2990" s="338" t="s">
        <v>4004</v>
      </c>
      <c r="E2990" s="336" t="s">
        <v>4003</v>
      </c>
      <c r="F2990" s="338"/>
      <c r="G2990" s="338" t="s">
        <v>413</v>
      </c>
      <c r="H2990" s="338" t="s">
        <v>412</v>
      </c>
      <c r="I2990" s="338" t="s">
        <v>411</v>
      </c>
      <c r="J2990" s="339"/>
      <c r="K2990" s="339"/>
      <c r="L2990" s="339" t="s">
        <v>409</v>
      </c>
      <c r="M2990" s="339" t="s">
        <v>409</v>
      </c>
      <c r="N2990" s="338" t="s">
        <v>417</v>
      </c>
      <c r="O2990" s="338" t="s">
        <v>409</v>
      </c>
      <c r="P2990" s="338" t="s">
        <v>417</v>
      </c>
    </row>
    <row r="2991" spans="2:16" x14ac:dyDescent="0.25">
      <c r="B2991" s="336" t="s">
        <v>416</v>
      </c>
      <c r="C2991" s="337">
        <v>39442</v>
      </c>
      <c r="D2991" s="338" t="s">
        <v>4002</v>
      </c>
      <c r="E2991" s="336" t="s">
        <v>4001</v>
      </c>
      <c r="F2991" s="338"/>
      <c r="G2991" s="338">
        <v>40.5</v>
      </c>
      <c r="H2991" s="338" t="s">
        <v>336</v>
      </c>
      <c r="I2991" s="338" t="s">
        <v>411</v>
      </c>
      <c r="J2991" s="339"/>
      <c r="K2991" s="339"/>
      <c r="L2991" s="339" t="s">
        <v>409</v>
      </c>
      <c r="M2991" s="339" t="s">
        <v>409</v>
      </c>
      <c r="N2991" s="338" t="s">
        <v>417</v>
      </c>
      <c r="O2991" s="338" t="s">
        <v>409</v>
      </c>
      <c r="P2991" s="338" t="s">
        <v>417</v>
      </c>
    </row>
    <row r="2992" spans="2:16" x14ac:dyDescent="0.25">
      <c r="B2992" s="336" t="s">
        <v>416</v>
      </c>
      <c r="C2992" s="337">
        <v>39442</v>
      </c>
      <c r="D2992" s="338" t="s">
        <v>4000</v>
      </c>
      <c r="E2992" s="336" t="s">
        <v>3210</v>
      </c>
      <c r="F2992" s="338"/>
      <c r="G2992" s="338">
        <v>41.7</v>
      </c>
      <c r="H2992" s="338" t="s">
        <v>425</v>
      </c>
      <c r="I2992" s="338" t="s">
        <v>411</v>
      </c>
      <c r="J2992" s="339"/>
      <c r="K2992" s="339"/>
      <c r="L2992" s="339" t="s">
        <v>409</v>
      </c>
      <c r="M2992" s="339" t="s">
        <v>409</v>
      </c>
      <c r="N2992" s="338" t="s">
        <v>417</v>
      </c>
      <c r="O2992" s="338" t="s">
        <v>409</v>
      </c>
      <c r="P2992" s="338" t="s">
        <v>443</v>
      </c>
    </row>
    <row r="2993" spans="2:16" x14ac:dyDescent="0.25">
      <c r="B2993" s="336" t="s">
        <v>416</v>
      </c>
      <c r="C2993" s="337">
        <v>39438</v>
      </c>
      <c r="D2993" s="338" t="s">
        <v>3999</v>
      </c>
      <c r="E2993" s="336" t="s">
        <v>585</v>
      </c>
      <c r="F2993" s="338"/>
      <c r="G2993" s="338">
        <v>40</v>
      </c>
      <c r="H2993" s="338" t="s">
        <v>425</v>
      </c>
      <c r="I2993" s="338" t="s">
        <v>411</v>
      </c>
      <c r="J2993" s="339"/>
      <c r="K2993" s="339"/>
      <c r="L2993" s="339" t="s">
        <v>409</v>
      </c>
      <c r="M2993" s="339" t="s">
        <v>409</v>
      </c>
      <c r="N2993" s="338" t="s">
        <v>410</v>
      </c>
      <c r="O2993" s="338" t="s">
        <v>409</v>
      </c>
      <c r="P2993" s="338" t="s">
        <v>443</v>
      </c>
    </row>
    <row r="2994" spans="2:16" x14ac:dyDescent="0.25">
      <c r="B2994" s="336" t="s">
        <v>416</v>
      </c>
      <c r="C2994" s="337">
        <v>39437</v>
      </c>
      <c r="D2994" s="338" t="s">
        <v>3998</v>
      </c>
      <c r="E2994" s="336" t="s">
        <v>3997</v>
      </c>
      <c r="F2994" s="338"/>
      <c r="G2994" s="338">
        <v>137.15</v>
      </c>
      <c r="H2994" s="338" t="s">
        <v>336</v>
      </c>
      <c r="I2994" s="338" t="s">
        <v>411</v>
      </c>
      <c r="J2994" s="339"/>
      <c r="K2994" s="339"/>
      <c r="L2994" s="339" t="s">
        <v>409</v>
      </c>
      <c r="M2994" s="339" t="s">
        <v>409</v>
      </c>
      <c r="N2994" s="338" t="s">
        <v>432</v>
      </c>
      <c r="O2994" s="338" t="s">
        <v>409</v>
      </c>
      <c r="P2994" s="338" t="s">
        <v>417</v>
      </c>
    </row>
    <row r="2995" spans="2:16" x14ac:dyDescent="0.25">
      <c r="B2995" s="336" t="s">
        <v>416</v>
      </c>
      <c r="C2995" s="337">
        <v>39437</v>
      </c>
      <c r="D2995" s="338" t="s">
        <v>956</v>
      </c>
      <c r="E2995" s="336" t="s">
        <v>3996</v>
      </c>
      <c r="F2995" s="338" t="s">
        <v>883</v>
      </c>
      <c r="G2995" s="338" t="s">
        <v>413</v>
      </c>
      <c r="H2995" s="338" t="s">
        <v>425</v>
      </c>
      <c r="I2995" s="338" t="s">
        <v>411</v>
      </c>
      <c r="J2995" s="339"/>
      <c r="K2995" s="339"/>
      <c r="L2995" s="339"/>
      <c r="M2995" s="339"/>
      <c r="N2995" s="338"/>
      <c r="O2995" s="338" t="s">
        <v>417</v>
      </c>
      <c r="P2995" s="338" t="s">
        <v>408</v>
      </c>
    </row>
    <row r="2996" spans="2:16" x14ac:dyDescent="0.25">
      <c r="B2996" s="336" t="s">
        <v>416</v>
      </c>
      <c r="C2996" s="337">
        <v>39437</v>
      </c>
      <c r="D2996" s="338" t="s">
        <v>3995</v>
      </c>
      <c r="E2996" s="336" t="s">
        <v>3994</v>
      </c>
      <c r="F2996" s="338" t="s">
        <v>3793</v>
      </c>
      <c r="G2996" s="338" t="s">
        <v>413</v>
      </c>
      <c r="H2996" s="338" t="s">
        <v>425</v>
      </c>
      <c r="I2996" s="338" t="s">
        <v>411</v>
      </c>
      <c r="J2996" s="339"/>
      <c r="K2996" s="339"/>
      <c r="L2996" s="339">
        <v>0.19824700000000001</v>
      </c>
      <c r="M2996" s="339"/>
      <c r="N2996" s="338"/>
      <c r="O2996" s="338" t="s">
        <v>417</v>
      </c>
      <c r="P2996" s="338"/>
    </row>
    <row r="2997" spans="2:16" x14ac:dyDescent="0.25">
      <c r="B2997" s="336" t="s">
        <v>416</v>
      </c>
      <c r="C2997" s="337">
        <v>39437</v>
      </c>
      <c r="D2997" s="338" t="s">
        <v>3993</v>
      </c>
      <c r="E2997" s="336" t="s">
        <v>3093</v>
      </c>
      <c r="F2997" s="338"/>
      <c r="G2997" s="338" t="s">
        <v>413</v>
      </c>
      <c r="H2997" s="338" t="s">
        <v>412</v>
      </c>
      <c r="I2997" s="338" t="s">
        <v>411</v>
      </c>
      <c r="J2997" s="339"/>
      <c r="K2997" s="339"/>
      <c r="L2997" s="339" t="s">
        <v>409</v>
      </c>
      <c r="M2997" s="339" t="s">
        <v>409</v>
      </c>
      <c r="N2997" s="338" t="s">
        <v>487</v>
      </c>
      <c r="O2997" s="338" t="s">
        <v>409</v>
      </c>
      <c r="P2997" s="338" t="s">
        <v>417</v>
      </c>
    </row>
    <row r="2998" spans="2:16" x14ac:dyDescent="0.25">
      <c r="B2998" s="336" t="s">
        <v>459</v>
      </c>
      <c r="C2998" s="337">
        <v>39436</v>
      </c>
      <c r="D2998" s="338" t="s">
        <v>3992</v>
      </c>
      <c r="E2998" s="336" t="s">
        <v>2991</v>
      </c>
      <c r="F2998" s="338"/>
      <c r="G2998" s="338" t="s">
        <v>413</v>
      </c>
      <c r="H2998" s="338" t="s">
        <v>425</v>
      </c>
      <c r="I2998" s="338" t="s">
        <v>411</v>
      </c>
      <c r="J2998" s="339"/>
      <c r="K2998" s="339"/>
      <c r="L2998" s="339" t="s">
        <v>409</v>
      </c>
      <c r="M2998" s="339" t="s">
        <v>409</v>
      </c>
      <c r="N2998" s="338" t="s">
        <v>543</v>
      </c>
      <c r="O2998" s="338" t="s">
        <v>409</v>
      </c>
      <c r="P2998" s="338" t="s">
        <v>443</v>
      </c>
    </row>
    <row r="2999" spans="2:16" x14ac:dyDescent="0.25">
      <c r="B2999" s="336" t="s">
        <v>416</v>
      </c>
      <c r="C2999" s="337">
        <v>39436</v>
      </c>
      <c r="D2999" s="338" t="s">
        <v>3991</v>
      </c>
      <c r="E2999" s="336" t="s">
        <v>536</v>
      </c>
      <c r="F2999" s="338"/>
      <c r="G2999" s="338" t="s">
        <v>413</v>
      </c>
      <c r="H2999" s="338" t="s">
        <v>412</v>
      </c>
      <c r="I2999" s="338" t="s">
        <v>411</v>
      </c>
      <c r="J2999" s="339"/>
      <c r="K2999" s="339"/>
      <c r="L2999" s="339" t="s">
        <v>409</v>
      </c>
      <c r="M2999" s="339" t="s">
        <v>409</v>
      </c>
      <c r="N2999" s="338"/>
      <c r="O2999" s="338" t="s">
        <v>409</v>
      </c>
      <c r="P2999" s="338" t="s">
        <v>417</v>
      </c>
    </row>
    <row r="3000" spans="2:16" x14ac:dyDescent="0.25">
      <c r="B3000" s="336" t="s">
        <v>416</v>
      </c>
      <c r="C3000" s="337">
        <v>39436</v>
      </c>
      <c r="D3000" s="338" t="s">
        <v>3990</v>
      </c>
      <c r="E3000" s="336" t="s">
        <v>463</v>
      </c>
      <c r="F3000" s="338"/>
      <c r="G3000" s="338" t="s">
        <v>413</v>
      </c>
      <c r="H3000" s="338" t="s">
        <v>425</v>
      </c>
      <c r="I3000" s="338" t="s">
        <v>411</v>
      </c>
      <c r="J3000" s="339"/>
      <c r="K3000" s="339"/>
      <c r="L3000" s="339" t="s">
        <v>409</v>
      </c>
      <c r="M3000" s="339" t="s">
        <v>409</v>
      </c>
      <c r="N3000" s="338"/>
      <c r="O3000" s="338" t="s">
        <v>409</v>
      </c>
      <c r="P3000" s="338" t="s">
        <v>417</v>
      </c>
    </row>
    <row r="3001" spans="2:16" x14ac:dyDescent="0.25">
      <c r="B3001" s="336" t="s">
        <v>416</v>
      </c>
      <c r="C3001" s="337">
        <v>39436</v>
      </c>
      <c r="D3001" s="338" t="s">
        <v>3989</v>
      </c>
      <c r="E3001" s="336" t="s">
        <v>3347</v>
      </c>
      <c r="F3001" s="338" t="s">
        <v>1166</v>
      </c>
      <c r="G3001" s="338">
        <v>1.2</v>
      </c>
      <c r="H3001" s="338" t="s">
        <v>425</v>
      </c>
      <c r="I3001" s="338" t="s">
        <v>411</v>
      </c>
      <c r="J3001" s="339"/>
      <c r="K3001" s="339"/>
      <c r="L3001" s="339">
        <v>0.46202199999999999</v>
      </c>
      <c r="M3001" s="339">
        <v>8.9121199999999998</v>
      </c>
      <c r="N3001" s="338"/>
      <c r="O3001" s="338" t="s">
        <v>410</v>
      </c>
      <c r="P3001" s="338" t="s">
        <v>417</v>
      </c>
    </row>
    <row r="3002" spans="2:16" x14ac:dyDescent="0.25">
      <c r="B3002" s="336" t="s">
        <v>416</v>
      </c>
      <c r="C3002" s="337">
        <v>39435</v>
      </c>
      <c r="D3002" s="338" t="s">
        <v>3988</v>
      </c>
      <c r="E3002" s="336" t="s">
        <v>2388</v>
      </c>
      <c r="F3002" s="338" t="s">
        <v>3987</v>
      </c>
      <c r="G3002" s="338" t="s">
        <v>413</v>
      </c>
      <c r="H3002" s="338" t="s">
        <v>425</v>
      </c>
      <c r="I3002" s="338" t="s">
        <v>411</v>
      </c>
      <c r="J3002" s="339"/>
      <c r="K3002" s="339"/>
      <c r="L3002" s="339"/>
      <c r="M3002" s="339"/>
      <c r="N3002" s="338"/>
      <c r="O3002" s="338" t="s">
        <v>432</v>
      </c>
      <c r="P3002" s="338" t="s">
        <v>417</v>
      </c>
    </row>
    <row r="3003" spans="2:16" x14ac:dyDescent="0.25">
      <c r="B3003" s="336" t="s">
        <v>416</v>
      </c>
      <c r="C3003" s="337">
        <v>39434</v>
      </c>
      <c r="D3003" s="338" t="s">
        <v>3986</v>
      </c>
      <c r="E3003" s="336" t="s">
        <v>3985</v>
      </c>
      <c r="F3003" s="338" t="s">
        <v>1249</v>
      </c>
      <c r="G3003" s="338">
        <v>75</v>
      </c>
      <c r="H3003" s="338" t="s">
        <v>507</v>
      </c>
      <c r="I3003" s="338" t="s">
        <v>411</v>
      </c>
      <c r="J3003" s="339"/>
      <c r="K3003" s="339"/>
      <c r="L3003" s="339">
        <v>1.74013</v>
      </c>
      <c r="M3003" s="339">
        <v>11.651400000000001</v>
      </c>
      <c r="N3003" s="338" t="s">
        <v>443</v>
      </c>
      <c r="O3003" s="338" t="s">
        <v>417</v>
      </c>
      <c r="P3003" s="338" t="s">
        <v>443</v>
      </c>
    </row>
    <row r="3004" spans="2:16" x14ac:dyDescent="0.25">
      <c r="B3004" s="336" t="s">
        <v>416</v>
      </c>
      <c r="C3004" s="337">
        <v>39433</v>
      </c>
      <c r="D3004" s="338" t="s">
        <v>956</v>
      </c>
      <c r="E3004" s="336" t="s">
        <v>3536</v>
      </c>
      <c r="F3004" s="338" t="s">
        <v>3984</v>
      </c>
      <c r="G3004" s="338">
        <v>23</v>
      </c>
      <c r="H3004" s="338" t="s">
        <v>425</v>
      </c>
      <c r="I3004" s="338" t="s">
        <v>411</v>
      </c>
      <c r="J3004" s="339"/>
      <c r="K3004" s="339"/>
      <c r="L3004" s="339"/>
      <c r="M3004" s="339"/>
      <c r="N3004" s="338"/>
      <c r="O3004" s="338" t="s">
        <v>417</v>
      </c>
      <c r="P3004" s="338" t="s">
        <v>417</v>
      </c>
    </row>
    <row r="3005" spans="2:16" x14ac:dyDescent="0.25">
      <c r="B3005" s="336" t="s">
        <v>416</v>
      </c>
      <c r="C3005" s="337">
        <v>39433</v>
      </c>
      <c r="D3005" s="338" t="s">
        <v>2678</v>
      </c>
      <c r="E3005" s="336" t="s">
        <v>463</v>
      </c>
      <c r="F3005" s="338"/>
      <c r="G3005" s="338" t="s">
        <v>413</v>
      </c>
      <c r="H3005" s="338" t="s">
        <v>425</v>
      </c>
      <c r="I3005" s="338" t="s">
        <v>411</v>
      </c>
      <c r="J3005" s="339"/>
      <c r="K3005" s="339"/>
      <c r="L3005" s="339" t="s">
        <v>409</v>
      </c>
      <c r="M3005" s="339" t="s">
        <v>409</v>
      </c>
      <c r="N3005" s="338"/>
      <c r="O3005" s="338" t="s">
        <v>409</v>
      </c>
      <c r="P3005" s="338" t="s">
        <v>417</v>
      </c>
    </row>
    <row r="3006" spans="2:16" x14ac:dyDescent="0.25">
      <c r="B3006" s="336" t="s">
        <v>416</v>
      </c>
      <c r="C3006" s="337">
        <v>39433</v>
      </c>
      <c r="D3006" s="338" t="s">
        <v>3983</v>
      </c>
      <c r="E3006" s="336" t="s">
        <v>2290</v>
      </c>
      <c r="F3006" s="338"/>
      <c r="G3006" s="338" t="s">
        <v>413</v>
      </c>
      <c r="H3006" s="338" t="s">
        <v>412</v>
      </c>
      <c r="I3006" s="338" t="s">
        <v>411</v>
      </c>
      <c r="J3006" s="339"/>
      <c r="K3006" s="339"/>
      <c r="L3006" s="339" t="s">
        <v>409</v>
      </c>
      <c r="M3006" s="339" t="s">
        <v>409</v>
      </c>
      <c r="N3006" s="338" t="s">
        <v>410</v>
      </c>
      <c r="O3006" s="338" t="s">
        <v>409</v>
      </c>
      <c r="P3006" s="338" t="s">
        <v>417</v>
      </c>
    </row>
    <row r="3007" spans="2:16" x14ac:dyDescent="0.25">
      <c r="B3007" s="336" t="s">
        <v>416</v>
      </c>
      <c r="C3007" s="337">
        <v>39433</v>
      </c>
      <c r="D3007" s="338" t="s">
        <v>3982</v>
      </c>
      <c r="E3007" s="336" t="s">
        <v>1197</v>
      </c>
      <c r="F3007" s="338"/>
      <c r="G3007" s="338" t="s">
        <v>413</v>
      </c>
      <c r="H3007" s="338" t="s">
        <v>425</v>
      </c>
      <c r="I3007" s="338" t="s">
        <v>411</v>
      </c>
      <c r="J3007" s="339"/>
      <c r="K3007" s="339"/>
      <c r="L3007" s="339" t="s">
        <v>409</v>
      </c>
      <c r="M3007" s="339" t="s">
        <v>409</v>
      </c>
      <c r="N3007" s="338" t="s">
        <v>417</v>
      </c>
      <c r="O3007" s="338" t="s">
        <v>409</v>
      </c>
      <c r="P3007" s="338" t="s">
        <v>443</v>
      </c>
    </row>
    <row r="3008" spans="2:16" x14ac:dyDescent="0.25">
      <c r="B3008" s="336" t="s">
        <v>416</v>
      </c>
      <c r="C3008" s="337">
        <v>39433</v>
      </c>
      <c r="D3008" s="338" t="s">
        <v>3981</v>
      </c>
      <c r="E3008" s="336" t="s">
        <v>3980</v>
      </c>
      <c r="F3008" s="338"/>
      <c r="G3008" s="338">
        <v>3</v>
      </c>
      <c r="H3008" s="338" t="s">
        <v>336</v>
      </c>
      <c r="I3008" s="338" t="s">
        <v>411</v>
      </c>
      <c r="J3008" s="339"/>
      <c r="K3008" s="339"/>
      <c r="L3008" s="339" t="s">
        <v>409</v>
      </c>
      <c r="M3008" s="339" t="s">
        <v>409</v>
      </c>
      <c r="N3008" s="338" t="s">
        <v>417</v>
      </c>
      <c r="O3008" s="338" t="s">
        <v>409</v>
      </c>
      <c r="P3008" s="338" t="s">
        <v>605</v>
      </c>
    </row>
    <row r="3009" spans="2:16" x14ac:dyDescent="0.25">
      <c r="B3009" s="336" t="s">
        <v>416</v>
      </c>
      <c r="C3009" s="337">
        <v>39433</v>
      </c>
      <c r="D3009" s="338" t="s">
        <v>3979</v>
      </c>
      <c r="E3009" s="336" t="s">
        <v>3978</v>
      </c>
      <c r="F3009" s="338"/>
      <c r="G3009" s="338" t="s">
        <v>413</v>
      </c>
      <c r="H3009" s="338" t="s">
        <v>336</v>
      </c>
      <c r="I3009" s="338" t="s">
        <v>411</v>
      </c>
      <c r="J3009" s="339"/>
      <c r="K3009" s="339"/>
      <c r="L3009" s="339" t="s">
        <v>409</v>
      </c>
      <c r="M3009" s="339" t="s">
        <v>409</v>
      </c>
      <c r="N3009" s="338" t="s">
        <v>612</v>
      </c>
      <c r="O3009" s="338" t="s">
        <v>409</v>
      </c>
      <c r="P3009" s="338" t="s">
        <v>543</v>
      </c>
    </row>
    <row r="3010" spans="2:16" x14ac:dyDescent="0.25">
      <c r="B3010" s="336" t="s">
        <v>416</v>
      </c>
      <c r="C3010" s="337">
        <v>39430</v>
      </c>
      <c r="D3010" s="338" t="s">
        <v>3977</v>
      </c>
      <c r="E3010" s="336" t="s">
        <v>3976</v>
      </c>
      <c r="F3010" s="338" t="s">
        <v>3975</v>
      </c>
      <c r="G3010" s="338" t="s">
        <v>413</v>
      </c>
      <c r="H3010" s="338" t="s">
        <v>425</v>
      </c>
      <c r="I3010" s="338" t="s">
        <v>411</v>
      </c>
      <c r="J3010" s="339"/>
      <c r="K3010" s="339"/>
      <c r="L3010" s="339"/>
      <c r="M3010" s="339"/>
      <c r="N3010" s="338" t="s">
        <v>432</v>
      </c>
      <c r="O3010" s="338"/>
      <c r="P3010" s="338"/>
    </row>
    <row r="3011" spans="2:16" x14ac:dyDescent="0.25">
      <c r="B3011" s="336" t="s">
        <v>416</v>
      </c>
      <c r="C3011" s="337">
        <v>39430</v>
      </c>
      <c r="D3011" s="338" t="s">
        <v>3974</v>
      </c>
      <c r="E3011" s="336" t="s">
        <v>3973</v>
      </c>
      <c r="F3011" s="338" t="s">
        <v>682</v>
      </c>
      <c r="G3011" s="338" t="s">
        <v>413</v>
      </c>
      <c r="H3011" s="338" t="s">
        <v>412</v>
      </c>
      <c r="I3011" s="338" t="s">
        <v>411</v>
      </c>
      <c r="J3011" s="339"/>
      <c r="K3011" s="339"/>
      <c r="L3011" s="339">
        <v>0.75620699999999996</v>
      </c>
      <c r="M3011" s="339">
        <v>37.798999999999999</v>
      </c>
      <c r="N3011" s="338" t="s">
        <v>410</v>
      </c>
      <c r="O3011" s="338" t="s">
        <v>417</v>
      </c>
      <c r="P3011" s="338" t="s">
        <v>410</v>
      </c>
    </row>
    <row r="3012" spans="2:16" x14ac:dyDescent="0.25">
      <c r="B3012" s="336" t="s">
        <v>416</v>
      </c>
      <c r="C3012" s="337">
        <v>39430</v>
      </c>
      <c r="D3012" s="338" t="s">
        <v>3972</v>
      </c>
      <c r="E3012" s="336" t="s">
        <v>3971</v>
      </c>
      <c r="F3012" s="338" t="s">
        <v>3970</v>
      </c>
      <c r="G3012" s="338" t="s">
        <v>413</v>
      </c>
      <c r="H3012" s="338" t="s">
        <v>425</v>
      </c>
      <c r="I3012" s="338" t="s">
        <v>411</v>
      </c>
      <c r="J3012" s="339"/>
      <c r="K3012" s="339"/>
      <c r="L3012" s="339"/>
      <c r="M3012" s="339"/>
      <c r="N3012" s="338"/>
      <c r="O3012" s="338" t="s">
        <v>417</v>
      </c>
      <c r="P3012" s="338" t="s">
        <v>487</v>
      </c>
    </row>
    <row r="3013" spans="2:16" x14ac:dyDescent="0.25">
      <c r="B3013" s="336" t="s">
        <v>416</v>
      </c>
      <c r="C3013" s="337">
        <v>39430</v>
      </c>
      <c r="D3013" s="338" t="s">
        <v>3969</v>
      </c>
      <c r="E3013" s="336" t="s">
        <v>669</v>
      </c>
      <c r="F3013" s="338"/>
      <c r="G3013" s="338" t="s">
        <v>413</v>
      </c>
      <c r="H3013" s="338" t="s">
        <v>412</v>
      </c>
      <c r="I3013" s="338" t="s">
        <v>411</v>
      </c>
      <c r="J3013" s="339"/>
      <c r="K3013" s="339"/>
      <c r="L3013" s="339" t="s">
        <v>409</v>
      </c>
      <c r="M3013" s="339" t="s">
        <v>409</v>
      </c>
      <c r="N3013" s="338" t="s">
        <v>432</v>
      </c>
      <c r="O3013" s="338" t="s">
        <v>409</v>
      </c>
      <c r="P3013" s="338"/>
    </row>
    <row r="3014" spans="2:16" x14ac:dyDescent="0.25">
      <c r="B3014" s="336" t="s">
        <v>541</v>
      </c>
      <c r="C3014" s="337">
        <v>39429</v>
      </c>
      <c r="D3014" s="338" t="s">
        <v>3968</v>
      </c>
      <c r="E3014" s="336" t="s">
        <v>539</v>
      </c>
      <c r="F3014" s="338" t="s">
        <v>3967</v>
      </c>
      <c r="G3014" s="338">
        <v>455.04</v>
      </c>
      <c r="H3014" s="338"/>
      <c r="I3014" s="338" t="s">
        <v>411</v>
      </c>
      <c r="J3014" s="339">
        <v>5.7862200000000001</v>
      </c>
      <c r="K3014" s="339">
        <v>9.0870499999999996</v>
      </c>
      <c r="L3014" s="339">
        <v>6.8106299999999997</v>
      </c>
      <c r="M3014" s="339">
        <v>16.468699999999998</v>
      </c>
      <c r="N3014" s="338" t="s">
        <v>410</v>
      </c>
      <c r="O3014" s="338" t="s">
        <v>432</v>
      </c>
      <c r="P3014" s="338" t="s">
        <v>409</v>
      </c>
    </row>
    <row r="3015" spans="2:16" x14ac:dyDescent="0.25">
      <c r="B3015" s="336" t="s">
        <v>459</v>
      </c>
      <c r="C3015" s="337">
        <v>39428</v>
      </c>
      <c r="D3015" s="338" t="s">
        <v>3966</v>
      </c>
      <c r="E3015" s="336" t="s">
        <v>3965</v>
      </c>
      <c r="F3015" s="338"/>
      <c r="G3015" s="338">
        <v>0.83</v>
      </c>
      <c r="H3015" s="338" t="s">
        <v>336</v>
      </c>
      <c r="I3015" s="338" t="s">
        <v>411</v>
      </c>
      <c r="J3015" s="339">
        <v>0.49598700000000001</v>
      </c>
      <c r="K3015" s="339">
        <v>4.5016499999999997</v>
      </c>
      <c r="L3015" s="339" t="s">
        <v>409</v>
      </c>
      <c r="M3015" s="339" t="s">
        <v>409</v>
      </c>
      <c r="N3015" s="338" t="s">
        <v>410</v>
      </c>
      <c r="O3015" s="338" t="s">
        <v>409</v>
      </c>
      <c r="P3015" s="338" t="s">
        <v>417</v>
      </c>
    </row>
    <row r="3016" spans="2:16" x14ac:dyDescent="0.25">
      <c r="B3016" s="336" t="s">
        <v>416</v>
      </c>
      <c r="C3016" s="337">
        <v>39427</v>
      </c>
      <c r="D3016" s="338" t="s">
        <v>3964</v>
      </c>
      <c r="E3016" s="336" t="s">
        <v>3963</v>
      </c>
      <c r="F3016" s="338" t="s">
        <v>3962</v>
      </c>
      <c r="G3016" s="338" t="s">
        <v>413</v>
      </c>
      <c r="H3016" s="338" t="s">
        <v>425</v>
      </c>
      <c r="I3016" s="338" t="s">
        <v>411</v>
      </c>
      <c r="J3016" s="339"/>
      <c r="K3016" s="339"/>
      <c r="L3016" s="339"/>
      <c r="M3016" s="339"/>
      <c r="N3016" s="338"/>
      <c r="O3016" s="338" t="s">
        <v>417</v>
      </c>
      <c r="P3016" s="338" t="s">
        <v>443</v>
      </c>
    </row>
    <row r="3017" spans="2:16" x14ac:dyDescent="0.25">
      <c r="B3017" s="336" t="s">
        <v>416</v>
      </c>
      <c r="C3017" s="337">
        <v>39427</v>
      </c>
      <c r="D3017" s="338" t="s">
        <v>3961</v>
      </c>
      <c r="E3017" s="336" t="s">
        <v>3057</v>
      </c>
      <c r="F3017" s="338"/>
      <c r="G3017" s="338" t="s">
        <v>413</v>
      </c>
      <c r="H3017" s="338" t="s">
        <v>412</v>
      </c>
      <c r="I3017" s="338" t="s">
        <v>411</v>
      </c>
      <c r="J3017" s="339"/>
      <c r="K3017" s="339"/>
      <c r="L3017" s="339" t="s">
        <v>409</v>
      </c>
      <c r="M3017" s="339" t="s">
        <v>409</v>
      </c>
      <c r="N3017" s="338" t="s">
        <v>417</v>
      </c>
      <c r="O3017" s="338" t="s">
        <v>409</v>
      </c>
      <c r="P3017" s="338" t="s">
        <v>417</v>
      </c>
    </row>
    <row r="3018" spans="2:16" x14ac:dyDescent="0.25">
      <c r="B3018" s="336" t="s">
        <v>416</v>
      </c>
      <c r="C3018" s="337">
        <v>39427</v>
      </c>
      <c r="D3018" s="338" t="s">
        <v>3960</v>
      </c>
      <c r="E3018" s="336" t="s">
        <v>3898</v>
      </c>
      <c r="F3018" s="338"/>
      <c r="G3018" s="338" t="s">
        <v>413</v>
      </c>
      <c r="H3018" s="338" t="s">
        <v>425</v>
      </c>
      <c r="I3018" s="338" t="s">
        <v>411</v>
      </c>
      <c r="J3018" s="339"/>
      <c r="K3018" s="339"/>
      <c r="L3018" s="339" t="s">
        <v>409</v>
      </c>
      <c r="M3018" s="339" t="s">
        <v>409</v>
      </c>
      <c r="N3018" s="338" t="s">
        <v>417</v>
      </c>
      <c r="O3018" s="338" t="s">
        <v>409</v>
      </c>
      <c r="P3018" s="338" t="s">
        <v>443</v>
      </c>
    </row>
    <row r="3019" spans="2:16" x14ac:dyDescent="0.25">
      <c r="B3019" s="336" t="s">
        <v>416</v>
      </c>
      <c r="C3019" s="337">
        <v>39426</v>
      </c>
      <c r="D3019" s="338" t="s">
        <v>3959</v>
      </c>
      <c r="E3019" s="336" t="s">
        <v>3958</v>
      </c>
      <c r="F3019" s="338" t="s">
        <v>3957</v>
      </c>
      <c r="G3019" s="338">
        <v>70</v>
      </c>
      <c r="H3019" s="338" t="s">
        <v>425</v>
      </c>
      <c r="I3019" s="338" t="s">
        <v>411</v>
      </c>
      <c r="J3019" s="339"/>
      <c r="K3019" s="339"/>
      <c r="L3019" s="339"/>
      <c r="M3019" s="339"/>
      <c r="N3019" s="338"/>
      <c r="O3019" s="338" t="s">
        <v>543</v>
      </c>
      <c r="P3019" s="338" t="s">
        <v>443</v>
      </c>
    </row>
    <row r="3020" spans="2:16" x14ac:dyDescent="0.25">
      <c r="B3020" s="336" t="s">
        <v>459</v>
      </c>
      <c r="C3020" s="337">
        <v>39426</v>
      </c>
      <c r="D3020" s="338" t="s">
        <v>3263</v>
      </c>
      <c r="E3020" s="336" t="s">
        <v>3956</v>
      </c>
      <c r="F3020" s="338"/>
      <c r="G3020" s="338" t="s">
        <v>413</v>
      </c>
      <c r="H3020" s="338" t="s">
        <v>425</v>
      </c>
      <c r="I3020" s="338" t="s">
        <v>411</v>
      </c>
      <c r="J3020" s="339"/>
      <c r="K3020" s="339"/>
      <c r="L3020" s="339" t="s">
        <v>409</v>
      </c>
      <c r="M3020" s="339" t="s">
        <v>409</v>
      </c>
      <c r="N3020" s="338" t="s">
        <v>417</v>
      </c>
      <c r="O3020" s="338" t="s">
        <v>409</v>
      </c>
      <c r="P3020" s="338"/>
    </row>
    <row r="3021" spans="2:16" x14ac:dyDescent="0.25">
      <c r="B3021" s="336" t="s">
        <v>416</v>
      </c>
      <c r="C3021" s="337">
        <v>39423</v>
      </c>
      <c r="D3021" s="338" t="s">
        <v>3955</v>
      </c>
      <c r="E3021" s="336" t="s">
        <v>2979</v>
      </c>
      <c r="F3021" s="338" t="s">
        <v>1778</v>
      </c>
      <c r="G3021" s="338" t="s">
        <v>413</v>
      </c>
      <c r="H3021" s="338" t="s">
        <v>412</v>
      </c>
      <c r="I3021" s="338" t="s">
        <v>411</v>
      </c>
      <c r="J3021" s="339"/>
      <c r="K3021" s="339"/>
      <c r="L3021" s="339"/>
      <c r="M3021" s="339"/>
      <c r="N3021" s="338" t="s">
        <v>543</v>
      </c>
      <c r="O3021" s="338" t="s">
        <v>443</v>
      </c>
      <c r="P3021" s="338" t="s">
        <v>487</v>
      </c>
    </row>
    <row r="3022" spans="2:16" x14ac:dyDescent="0.25">
      <c r="B3022" s="336" t="s">
        <v>416</v>
      </c>
      <c r="C3022" s="337">
        <v>39423</v>
      </c>
      <c r="D3022" s="338" t="s">
        <v>1748</v>
      </c>
      <c r="E3022" s="336" t="s">
        <v>1281</v>
      </c>
      <c r="F3022" s="338"/>
      <c r="G3022" s="338">
        <v>2288.3000000000002</v>
      </c>
      <c r="H3022" s="338" t="s">
        <v>671</v>
      </c>
      <c r="I3022" s="338" t="s">
        <v>411</v>
      </c>
      <c r="J3022" s="339">
        <v>2.3069899999999999</v>
      </c>
      <c r="K3022" s="339">
        <v>13.6629</v>
      </c>
      <c r="L3022" s="339" t="s">
        <v>409</v>
      </c>
      <c r="M3022" s="339" t="s">
        <v>409</v>
      </c>
      <c r="N3022" s="338" t="s">
        <v>432</v>
      </c>
      <c r="O3022" s="338" t="s">
        <v>409</v>
      </c>
      <c r="P3022" s="338" t="s">
        <v>605</v>
      </c>
    </row>
    <row r="3023" spans="2:16" x14ac:dyDescent="0.25">
      <c r="B3023" s="336" t="s">
        <v>416</v>
      </c>
      <c r="C3023" s="337">
        <v>39423</v>
      </c>
      <c r="D3023" s="338" t="s">
        <v>3954</v>
      </c>
      <c r="E3023" s="336" t="s">
        <v>2648</v>
      </c>
      <c r="F3023" s="338" t="s">
        <v>3953</v>
      </c>
      <c r="G3023" s="338" t="s">
        <v>413</v>
      </c>
      <c r="H3023" s="338" t="s">
        <v>412</v>
      </c>
      <c r="I3023" s="338" t="s">
        <v>411</v>
      </c>
      <c r="J3023" s="339">
        <v>9.10445E-2</v>
      </c>
      <c r="K3023" s="339"/>
      <c r="L3023" s="339">
        <v>1.9225300000000001</v>
      </c>
      <c r="M3023" s="339">
        <v>8.7778200000000002</v>
      </c>
      <c r="N3023" s="338" t="s">
        <v>417</v>
      </c>
      <c r="O3023" s="338" t="s">
        <v>543</v>
      </c>
      <c r="P3023" s="338" t="s">
        <v>443</v>
      </c>
    </row>
    <row r="3024" spans="2:16" x14ac:dyDescent="0.25">
      <c r="B3024" s="336" t="s">
        <v>416</v>
      </c>
      <c r="C3024" s="337">
        <v>39423</v>
      </c>
      <c r="D3024" s="338" t="s">
        <v>3952</v>
      </c>
      <c r="E3024" s="336" t="s">
        <v>3951</v>
      </c>
      <c r="F3024" s="338"/>
      <c r="G3024" s="338">
        <v>7.1</v>
      </c>
      <c r="H3024" s="338" t="s">
        <v>425</v>
      </c>
      <c r="I3024" s="338" t="s">
        <v>411</v>
      </c>
      <c r="J3024" s="339"/>
      <c r="K3024" s="339"/>
      <c r="L3024" s="339" t="s">
        <v>409</v>
      </c>
      <c r="M3024" s="339" t="s">
        <v>409</v>
      </c>
      <c r="N3024" s="338" t="s">
        <v>410</v>
      </c>
      <c r="O3024" s="338" t="s">
        <v>409</v>
      </c>
      <c r="P3024" s="338" t="s">
        <v>417</v>
      </c>
    </row>
    <row r="3025" spans="2:16" x14ac:dyDescent="0.25">
      <c r="B3025" s="336" t="s">
        <v>416</v>
      </c>
      <c r="C3025" s="337">
        <v>39423</v>
      </c>
      <c r="D3025" s="338" t="s">
        <v>3950</v>
      </c>
      <c r="E3025" s="336" t="s">
        <v>3949</v>
      </c>
      <c r="F3025" s="338"/>
      <c r="G3025" s="338">
        <v>0.17</v>
      </c>
      <c r="H3025" s="338" t="s">
        <v>425</v>
      </c>
      <c r="I3025" s="338" t="s">
        <v>411</v>
      </c>
      <c r="J3025" s="339"/>
      <c r="K3025" s="339"/>
      <c r="L3025" s="339" t="s">
        <v>409</v>
      </c>
      <c r="M3025" s="339" t="s">
        <v>409</v>
      </c>
      <c r="N3025" s="338" t="s">
        <v>417</v>
      </c>
      <c r="O3025" s="338" t="s">
        <v>409</v>
      </c>
      <c r="P3025" s="338" t="s">
        <v>443</v>
      </c>
    </row>
    <row r="3026" spans="2:16" x14ac:dyDescent="0.25">
      <c r="B3026" s="336" t="s">
        <v>416</v>
      </c>
      <c r="C3026" s="337">
        <v>39423</v>
      </c>
      <c r="D3026" s="338" t="s">
        <v>3948</v>
      </c>
      <c r="E3026" s="336" t="s">
        <v>3947</v>
      </c>
      <c r="F3026" s="338"/>
      <c r="G3026" s="338" t="s">
        <v>413</v>
      </c>
      <c r="H3026" s="338" t="s">
        <v>412</v>
      </c>
      <c r="I3026" s="338" t="s">
        <v>411</v>
      </c>
      <c r="J3026" s="339"/>
      <c r="K3026" s="339"/>
      <c r="L3026" s="339" t="s">
        <v>409</v>
      </c>
      <c r="M3026" s="339" t="s">
        <v>409</v>
      </c>
      <c r="N3026" s="338" t="s">
        <v>417</v>
      </c>
      <c r="O3026" s="338" t="s">
        <v>409</v>
      </c>
      <c r="P3026" s="338" t="s">
        <v>487</v>
      </c>
    </row>
    <row r="3027" spans="2:16" x14ac:dyDescent="0.25">
      <c r="B3027" s="336" t="s">
        <v>416</v>
      </c>
      <c r="C3027" s="337">
        <v>39423</v>
      </c>
      <c r="D3027" s="338" t="s">
        <v>3946</v>
      </c>
      <c r="E3027" s="336" t="s">
        <v>3945</v>
      </c>
      <c r="F3027" s="338" t="s">
        <v>3944</v>
      </c>
      <c r="G3027" s="338">
        <v>5.72</v>
      </c>
      <c r="H3027" s="338" t="s">
        <v>425</v>
      </c>
      <c r="I3027" s="338" t="s">
        <v>411</v>
      </c>
      <c r="J3027" s="339"/>
      <c r="K3027" s="339"/>
      <c r="L3027" s="339"/>
      <c r="M3027" s="339"/>
      <c r="N3027" s="338" t="s">
        <v>417</v>
      </c>
      <c r="O3027" s="338" t="s">
        <v>443</v>
      </c>
      <c r="P3027" s="338" t="s">
        <v>443</v>
      </c>
    </row>
    <row r="3028" spans="2:16" x14ac:dyDescent="0.25">
      <c r="B3028" s="336" t="s">
        <v>416</v>
      </c>
      <c r="C3028" s="337">
        <v>39422</v>
      </c>
      <c r="D3028" s="338" t="s">
        <v>3943</v>
      </c>
      <c r="E3028" s="336" t="s">
        <v>1906</v>
      </c>
      <c r="F3028" s="338" t="s">
        <v>3174</v>
      </c>
      <c r="G3028" s="338" t="s">
        <v>413</v>
      </c>
      <c r="H3028" s="338" t="s">
        <v>425</v>
      </c>
      <c r="I3028" s="338" t="s">
        <v>411</v>
      </c>
      <c r="J3028" s="339"/>
      <c r="K3028" s="339"/>
      <c r="L3028" s="339"/>
      <c r="M3028" s="339"/>
      <c r="N3028" s="338"/>
      <c r="O3028" s="338" t="s">
        <v>417</v>
      </c>
      <c r="P3028" s="338" t="s">
        <v>417</v>
      </c>
    </row>
    <row r="3029" spans="2:16" x14ac:dyDescent="0.25">
      <c r="B3029" s="336" t="s">
        <v>416</v>
      </c>
      <c r="C3029" s="337">
        <v>39422</v>
      </c>
      <c r="D3029" s="338" t="s">
        <v>3942</v>
      </c>
      <c r="E3029" s="336" t="s">
        <v>1452</v>
      </c>
      <c r="F3029" s="338"/>
      <c r="G3029" s="338" t="s">
        <v>413</v>
      </c>
      <c r="H3029" s="338" t="s">
        <v>425</v>
      </c>
      <c r="I3029" s="338" t="s">
        <v>411</v>
      </c>
      <c r="J3029" s="339"/>
      <c r="K3029" s="339"/>
      <c r="L3029" s="339" t="s">
        <v>409</v>
      </c>
      <c r="M3029" s="339" t="s">
        <v>409</v>
      </c>
      <c r="N3029" s="338"/>
      <c r="O3029" s="338" t="s">
        <v>409</v>
      </c>
      <c r="P3029" s="338" t="s">
        <v>417</v>
      </c>
    </row>
    <row r="3030" spans="2:16" x14ac:dyDescent="0.25">
      <c r="B3030" s="336" t="s">
        <v>416</v>
      </c>
      <c r="C3030" s="337">
        <v>39422</v>
      </c>
      <c r="D3030" s="338" t="s">
        <v>3941</v>
      </c>
      <c r="E3030" s="336" t="s">
        <v>438</v>
      </c>
      <c r="F3030" s="338"/>
      <c r="G3030" s="338">
        <v>3.5</v>
      </c>
      <c r="H3030" s="338" t="s">
        <v>425</v>
      </c>
      <c r="I3030" s="338" t="s">
        <v>411</v>
      </c>
      <c r="J3030" s="339"/>
      <c r="K3030" s="339"/>
      <c r="L3030" s="339" t="s">
        <v>409</v>
      </c>
      <c r="M3030" s="339" t="s">
        <v>409</v>
      </c>
      <c r="N3030" s="338"/>
      <c r="O3030" s="338" t="s">
        <v>409</v>
      </c>
      <c r="P3030" s="338" t="s">
        <v>417</v>
      </c>
    </row>
    <row r="3031" spans="2:16" x14ac:dyDescent="0.25">
      <c r="B3031" s="336" t="s">
        <v>416</v>
      </c>
      <c r="C3031" s="337">
        <v>39422</v>
      </c>
      <c r="D3031" s="338" t="s">
        <v>3940</v>
      </c>
      <c r="E3031" s="336" t="s">
        <v>3939</v>
      </c>
      <c r="F3031" s="338"/>
      <c r="G3031" s="338" t="s">
        <v>413</v>
      </c>
      <c r="H3031" s="338" t="s">
        <v>425</v>
      </c>
      <c r="I3031" s="338" t="s">
        <v>411</v>
      </c>
      <c r="J3031" s="339"/>
      <c r="K3031" s="339"/>
      <c r="L3031" s="339" t="s">
        <v>409</v>
      </c>
      <c r="M3031" s="339" t="s">
        <v>409</v>
      </c>
      <c r="N3031" s="338"/>
      <c r="O3031" s="338" t="s">
        <v>409</v>
      </c>
      <c r="P3031" s="338" t="s">
        <v>443</v>
      </c>
    </row>
    <row r="3032" spans="2:16" x14ac:dyDescent="0.25">
      <c r="B3032" s="336" t="s">
        <v>416</v>
      </c>
      <c r="C3032" s="337">
        <v>39422</v>
      </c>
      <c r="D3032" s="338" t="s">
        <v>3938</v>
      </c>
      <c r="E3032" s="336" t="s">
        <v>3532</v>
      </c>
      <c r="F3032" s="338" t="s">
        <v>1060</v>
      </c>
      <c r="G3032" s="338">
        <v>70</v>
      </c>
      <c r="H3032" s="338" t="s">
        <v>425</v>
      </c>
      <c r="I3032" s="338" t="s">
        <v>411</v>
      </c>
      <c r="J3032" s="339"/>
      <c r="K3032" s="339"/>
      <c r="L3032" s="339"/>
      <c r="M3032" s="339"/>
      <c r="N3032" s="338" t="s">
        <v>417</v>
      </c>
      <c r="O3032" s="338" t="s">
        <v>443</v>
      </c>
      <c r="P3032" s="338" t="s">
        <v>417</v>
      </c>
    </row>
    <row r="3033" spans="2:16" x14ac:dyDescent="0.25">
      <c r="B3033" s="336" t="s">
        <v>416</v>
      </c>
      <c r="C3033" s="337">
        <v>39422</v>
      </c>
      <c r="D3033" s="338" t="s">
        <v>3937</v>
      </c>
      <c r="E3033" s="336" t="s">
        <v>3936</v>
      </c>
      <c r="F3033" s="338" t="s">
        <v>3935</v>
      </c>
      <c r="G3033" s="338">
        <v>371.07</v>
      </c>
      <c r="H3033" s="338" t="s">
        <v>425</v>
      </c>
      <c r="I3033" s="338" t="s">
        <v>411</v>
      </c>
      <c r="J3033" s="339"/>
      <c r="K3033" s="339"/>
      <c r="L3033" s="339"/>
      <c r="M3033" s="339"/>
      <c r="N3033" s="338"/>
      <c r="O3033" s="338"/>
      <c r="P3033" s="338" t="s">
        <v>443</v>
      </c>
    </row>
    <row r="3034" spans="2:16" x14ac:dyDescent="0.25">
      <c r="B3034" s="336" t="s">
        <v>416</v>
      </c>
      <c r="C3034" s="337">
        <v>39420</v>
      </c>
      <c r="D3034" s="338" t="s">
        <v>3934</v>
      </c>
      <c r="E3034" s="336" t="s">
        <v>3933</v>
      </c>
      <c r="F3034" s="338"/>
      <c r="G3034" s="338" t="s">
        <v>413</v>
      </c>
      <c r="H3034" s="338" t="s">
        <v>425</v>
      </c>
      <c r="I3034" s="338" t="s">
        <v>411</v>
      </c>
      <c r="J3034" s="339"/>
      <c r="K3034" s="339"/>
      <c r="L3034" s="339" t="s">
        <v>409</v>
      </c>
      <c r="M3034" s="339" t="s">
        <v>409</v>
      </c>
      <c r="N3034" s="338"/>
      <c r="O3034" s="338" t="s">
        <v>409</v>
      </c>
      <c r="P3034" s="338" t="s">
        <v>417</v>
      </c>
    </row>
    <row r="3035" spans="2:16" x14ac:dyDescent="0.25">
      <c r="B3035" s="336" t="s">
        <v>416</v>
      </c>
      <c r="C3035" s="337">
        <v>39420</v>
      </c>
      <c r="D3035" s="338" t="s">
        <v>3932</v>
      </c>
      <c r="E3035" s="336" t="s">
        <v>3253</v>
      </c>
      <c r="F3035" s="338" t="s">
        <v>488</v>
      </c>
      <c r="G3035" s="338">
        <v>49</v>
      </c>
      <c r="H3035" s="338" t="s">
        <v>425</v>
      </c>
      <c r="I3035" s="338" t="s">
        <v>411</v>
      </c>
      <c r="J3035" s="339"/>
      <c r="K3035" s="339"/>
      <c r="L3035" s="339">
        <v>0.46422200000000002</v>
      </c>
      <c r="M3035" s="339"/>
      <c r="N3035" s="338"/>
      <c r="O3035" s="338" t="s">
        <v>417</v>
      </c>
      <c r="P3035" s="338" t="s">
        <v>443</v>
      </c>
    </row>
    <row r="3036" spans="2:16" x14ac:dyDescent="0.25">
      <c r="B3036" s="336" t="s">
        <v>416</v>
      </c>
      <c r="C3036" s="337">
        <v>39420</v>
      </c>
      <c r="D3036" s="338" t="s">
        <v>3931</v>
      </c>
      <c r="E3036" s="336" t="s">
        <v>468</v>
      </c>
      <c r="F3036" s="338" t="s">
        <v>3627</v>
      </c>
      <c r="G3036" s="338">
        <v>80</v>
      </c>
      <c r="H3036" s="338" t="s">
        <v>425</v>
      </c>
      <c r="I3036" s="338" t="s">
        <v>411</v>
      </c>
      <c r="J3036" s="339"/>
      <c r="K3036" s="339"/>
      <c r="L3036" s="339">
        <v>1.0638799999999999</v>
      </c>
      <c r="M3036" s="339">
        <v>9.8536400000000004</v>
      </c>
      <c r="N3036" s="338"/>
      <c r="O3036" s="338" t="s">
        <v>417</v>
      </c>
      <c r="P3036" s="338" t="s">
        <v>443</v>
      </c>
    </row>
    <row r="3037" spans="2:16" x14ac:dyDescent="0.25">
      <c r="B3037" s="336" t="s">
        <v>416</v>
      </c>
      <c r="C3037" s="337">
        <v>39419</v>
      </c>
      <c r="D3037" s="338" t="s">
        <v>3930</v>
      </c>
      <c r="E3037" s="336" t="s">
        <v>485</v>
      </c>
      <c r="F3037" s="338"/>
      <c r="G3037" s="338">
        <v>25</v>
      </c>
      <c r="H3037" s="338" t="s">
        <v>418</v>
      </c>
      <c r="I3037" s="338" t="s">
        <v>411</v>
      </c>
      <c r="J3037" s="339"/>
      <c r="K3037" s="339"/>
      <c r="L3037" s="339" t="s">
        <v>409</v>
      </c>
      <c r="M3037" s="339" t="s">
        <v>409</v>
      </c>
      <c r="N3037" s="338"/>
      <c r="O3037" s="338" t="s">
        <v>409</v>
      </c>
      <c r="P3037" s="338" t="s">
        <v>417</v>
      </c>
    </row>
    <row r="3038" spans="2:16" x14ac:dyDescent="0.25">
      <c r="B3038" s="336" t="s">
        <v>416</v>
      </c>
      <c r="C3038" s="337">
        <v>39419</v>
      </c>
      <c r="D3038" s="338" t="s">
        <v>3929</v>
      </c>
      <c r="E3038" s="336" t="s">
        <v>3928</v>
      </c>
      <c r="F3038" s="338" t="s">
        <v>1794</v>
      </c>
      <c r="G3038" s="338" t="s">
        <v>413</v>
      </c>
      <c r="H3038" s="338" t="s">
        <v>425</v>
      </c>
      <c r="I3038" s="338" t="s">
        <v>411</v>
      </c>
      <c r="J3038" s="339"/>
      <c r="K3038" s="339"/>
      <c r="L3038" s="339"/>
      <c r="M3038" s="339"/>
      <c r="N3038" s="338" t="s">
        <v>417</v>
      </c>
      <c r="O3038" s="338" t="s">
        <v>417</v>
      </c>
      <c r="P3038" s="338" t="s">
        <v>443</v>
      </c>
    </row>
    <row r="3039" spans="2:16" x14ac:dyDescent="0.25">
      <c r="B3039" s="336" t="s">
        <v>416</v>
      </c>
      <c r="C3039" s="337">
        <v>39417</v>
      </c>
      <c r="D3039" s="338" t="s">
        <v>3927</v>
      </c>
      <c r="E3039" s="336" t="s">
        <v>3093</v>
      </c>
      <c r="F3039" s="338"/>
      <c r="G3039" s="338">
        <v>2</v>
      </c>
      <c r="H3039" s="338" t="s">
        <v>336</v>
      </c>
      <c r="I3039" s="338" t="s">
        <v>411</v>
      </c>
      <c r="J3039" s="339"/>
      <c r="K3039" s="339"/>
      <c r="L3039" s="339" t="s">
        <v>409</v>
      </c>
      <c r="M3039" s="339" t="s">
        <v>409</v>
      </c>
      <c r="N3039" s="338"/>
      <c r="O3039" s="338" t="s">
        <v>409</v>
      </c>
      <c r="P3039" s="338" t="s">
        <v>417</v>
      </c>
    </row>
    <row r="3040" spans="2:16" x14ac:dyDescent="0.25">
      <c r="B3040" s="336" t="s">
        <v>416</v>
      </c>
      <c r="C3040" s="337">
        <v>39416</v>
      </c>
      <c r="D3040" s="338" t="s">
        <v>3926</v>
      </c>
      <c r="E3040" s="336" t="s">
        <v>3925</v>
      </c>
      <c r="F3040" s="338" t="s">
        <v>3441</v>
      </c>
      <c r="G3040" s="338" t="s">
        <v>413</v>
      </c>
      <c r="H3040" s="338" t="s">
        <v>425</v>
      </c>
      <c r="I3040" s="338" t="s">
        <v>411</v>
      </c>
      <c r="J3040" s="339"/>
      <c r="K3040" s="339"/>
      <c r="L3040" s="339"/>
      <c r="M3040" s="339"/>
      <c r="N3040" s="338"/>
      <c r="O3040" s="338" t="s">
        <v>417</v>
      </c>
      <c r="P3040" s="338" t="s">
        <v>417</v>
      </c>
    </row>
    <row r="3041" spans="2:16" x14ac:dyDescent="0.25">
      <c r="B3041" s="336" t="s">
        <v>416</v>
      </c>
      <c r="C3041" s="337">
        <v>39416</v>
      </c>
      <c r="D3041" s="338" t="s">
        <v>3924</v>
      </c>
      <c r="E3041" s="336" t="s">
        <v>3923</v>
      </c>
      <c r="F3041" s="338" t="s">
        <v>3922</v>
      </c>
      <c r="G3041" s="338">
        <v>6</v>
      </c>
      <c r="H3041" s="338" t="s">
        <v>429</v>
      </c>
      <c r="I3041" s="338" t="s">
        <v>411</v>
      </c>
      <c r="J3041" s="339"/>
      <c r="K3041" s="339"/>
      <c r="L3041" s="339"/>
      <c r="M3041" s="339"/>
      <c r="N3041" s="338"/>
      <c r="O3041" s="338" t="s">
        <v>417</v>
      </c>
      <c r="P3041" s="338" t="s">
        <v>417</v>
      </c>
    </row>
    <row r="3042" spans="2:16" x14ac:dyDescent="0.25">
      <c r="B3042" s="336" t="s">
        <v>416</v>
      </c>
      <c r="C3042" s="337">
        <v>39416</v>
      </c>
      <c r="D3042" s="338" t="s">
        <v>3921</v>
      </c>
      <c r="E3042" s="336" t="s">
        <v>3920</v>
      </c>
      <c r="F3042" s="338"/>
      <c r="G3042" s="338" t="s">
        <v>413</v>
      </c>
      <c r="H3042" s="338" t="s">
        <v>412</v>
      </c>
      <c r="I3042" s="338" t="s">
        <v>411</v>
      </c>
      <c r="J3042" s="339"/>
      <c r="K3042" s="339"/>
      <c r="L3042" s="339" t="s">
        <v>409</v>
      </c>
      <c r="M3042" s="339" t="s">
        <v>409</v>
      </c>
      <c r="N3042" s="338" t="s">
        <v>612</v>
      </c>
      <c r="O3042" s="338" t="s">
        <v>409</v>
      </c>
      <c r="P3042" s="338" t="s">
        <v>417</v>
      </c>
    </row>
    <row r="3043" spans="2:16" x14ac:dyDescent="0.25">
      <c r="B3043" s="336" t="s">
        <v>416</v>
      </c>
      <c r="C3043" s="337">
        <v>39415</v>
      </c>
      <c r="D3043" s="338" t="s">
        <v>650</v>
      </c>
      <c r="E3043" s="336" t="s">
        <v>3919</v>
      </c>
      <c r="F3043" s="338"/>
      <c r="G3043" s="338">
        <v>57.6</v>
      </c>
      <c r="H3043" s="338" t="s">
        <v>425</v>
      </c>
      <c r="I3043" s="338" t="s">
        <v>411</v>
      </c>
      <c r="J3043" s="339">
        <v>6.4971299999999996E-2</v>
      </c>
      <c r="K3043" s="339"/>
      <c r="L3043" s="339" t="s">
        <v>409</v>
      </c>
      <c r="M3043" s="339" t="s">
        <v>409</v>
      </c>
      <c r="N3043" s="338" t="s">
        <v>417</v>
      </c>
      <c r="O3043" s="338" t="s">
        <v>409</v>
      </c>
      <c r="P3043" s="338"/>
    </row>
    <row r="3044" spans="2:16" x14ac:dyDescent="0.25">
      <c r="B3044" s="336" t="s">
        <v>1441</v>
      </c>
      <c r="C3044" s="337">
        <v>39415</v>
      </c>
      <c r="D3044" s="338" t="s">
        <v>3918</v>
      </c>
      <c r="E3044" s="336" t="s">
        <v>3917</v>
      </c>
      <c r="F3044" s="338"/>
      <c r="G3044" s="338" t="s">
        <v>413</v>
      </c>
      <c r="H3044" s="338" t="s">
        <v>425</v>
      </c>
      <c r="I3044" s="338" t="s">
        <v>411</v>
      </c>
      <c r="J3044" s="339"/>
      <c r="K3044" s="339"/>
      <c r="L3044" s="339" t="s">
        <v>409</v>
      </c>
      <c r="M3044" s="339" t="s">
        <v>409</v>
      </c>
      <c r="N3044" s="338" t="s">
        <v>432</v>
      </c>
      <c r="O3044" s="338" t="s">
        <v>409</v>
      </c>
      <c r="P3044" s="338" t="s">
        <v>432</v>
      </c>
    </row>
    <row r="3045" spans="2:16" x14ac:dyDescent="0.25">
      <c r="B3045" s="336" t="s">
        <v>416</v>
      </c>
      <c r="C3045" s="337">
        <v>39415</v>
      </c>
      <c r="D3045" s="338" t="s">
        <v>2216</v>
      </c>
      <c r="E3045" s="336" t="s">
        <v>3916</v>
      </c>
      <c r="F3045" s="338"/>
      <c r="G3045" s="338" t="s">
        <v>413</v>
      </c>
      <c r="H3045" s="338" t="s">
        <v>412</v>
      </c>
      <c r="I3045" s="338" t="s">
        <v>411</v>
      </c>
      <c r="J3045" s="339"/>
      <c r="K3045" s="339"/>
      <c r="L3045" s="339" t="s">
        <v>409</v>
      </c>
      <c r="M3045" s="339" t="s">
        <v>409</v>
      </c>
      <c r="N3045" s="338" t="s">
        <v>410</v>
      </c>
      <c r="O3045" s="338" t="s">
        <v>409</v>
      </c>
      <c r="P3045" s="338" t="s">
        <v>443</v>
      </c>
    </row>
    <row r="3046" spans="2:16" x14ac:dyDescent="0.25">
      <c r="B3046" s="336" t="s">
        <v>416</v>
      </c>
      <c r="C3046" s="337">
        <v>39415</v>
      </c>
      <c r="D3046" s="338" t="s">
        <v>3915</v>
      </c>
      <c r="E3046" s="336" t="s">
        <v>3914</v>
      </c>
      <c r="F3046" s="338"/>
      <c r="G3046" s="338">
        <v>79.5</v>
      </c>
      <c r="H3046" s="338" t="s">
        <v>425</v>
      </c>
      <c r="I3046" s="338" t="s">
        <v>411</v>
      </c>
      <c r="J3046" s="339"/>
      <c r="K3046" s="339"/>
      <c r="L3046" s="339" t="s">
        <v>409</v>
      </c>
      <c r="M3046" s="339" t="s">
        <v>409</v>
      </c>
      <c r="N3046" s="338" t="s">
        <v>417</v>
      </c>
      <c r="O3046" s="338" t="s">
        <v>409</v>
      </c>
      <c r="P3046" s="338" t="s">
        <v>605</v>
      </c>
    </row>
    <row r="3047" spans="2:16" x14ac:dyDescent="0.25">
      <c r="B3047" s="336" t="s">
        <v>416</v>
      </c>
      <c r="C3047" s="337">
        <v>39415</v>
      </c>
      <c r="D3047" s="338" t="s">
        <v>3913</v>
      </c>
      <c r="E3047" s="336" t="s">
        <v>1819</v>
      </c>
      <c r="F3047" s="338" t="s">
        <v>2440</v>
      </c>
      <c r="G3047" s="338">
        <v>14.01</v>
      </c>
      <c r="H3047" s="338" t="s">
        <v>418</v>
      </c>
      <c r="I3047" s="338" t="s">
        <v>411</v>
      </c>
      <c r="J3047" s="339"/>
      <c r="K3047" s="339"/>
      <c r="L3047" s="339"/>
      <c r="M3047" s="339"/>
      <c r="N3047" s="338"/>
      <c r="O3047" s="338" t="s">
        <v>417</v>
      </c>
      <c r="P3047" s="338" t="s">
        <v>417</v>
      </c>
    </row>
    <row r="3048" spans="2:16" x14ac:dyDescent="0.25">
      <c r="B3048" s="336" t="s">
        <v>416</v>
      </c>
      <c r="C3048" s="337">
        <v>39414</v>
      </c>
      <c r="D3048" s="338" t="s">
        <v>3912</v>
      </c>
      <c r="E3048" s="336" t="s">
        <v>3911</v>
      </c>
      <c r="F3048" s="338"/>
      <c r="G3048" s="338">
        <v>43</v>
      </c>
      <c r="H3048" s="338" t="s">
        <v>425</v>
      </c>
      <c r="I3048" s="338" t="s">
        <v>411</v>
      </c>
      <c r="J3048" s="339"/>
      <c r="K3048" s="339"/>
      <c r="L3048" s="339" t="s">
        <v>409</v>
      </c>
      <c r="M3048" s="339" t="s">
        <v>409</v>
      </c>
      <c r="N3048" s="338"/>
      <c r="O3048" s="338" t="s">
        <v>409</v>
      </c>
      <c r="P3048" s="338" t="s">
        <v>417</v>
      </c>
    </row>
    <row r="3049" spans="2:16" x14ac:dyDescent="0.25">
      <c r="B3049" s="336" t="s">
        <v>416</v>
      </c>
      <c r="C3049" s="337">
        <v>39412</v>
      </c>
      <c r="D3049" s="338" t="s">
        <v>3910</v>
      </c>
      <c r="E3049" s="336" t="s">
        <v>2775</v>
      </c>
      <c r="F3049" s="338"/>
      <c r="G3049" s="338">
        <v>71</v>
      </c>
      <c r="H3049" s="338" t="s">
        <v>425</v>
      </c>
      <c r="I3049" s="338" t="s">
        <v>411</v>
      </c>
      <c r="J3049" s="339"/>
      <c r="K3049" s="339"/>
      <c r="L3049" s="339" t="s">
        <v>409</v>
      </c>
      <c r="M3049" s="339" t="s">
        <v>409</v>
      </c>
      <c r="N3049" s="338" t="s">
        <v>417</v>
      </c>
      <c r="O3049" s="338" t="s">
        <v>409</v>
      </c>
      <c r="P3049" s="338" t="s">
        <v>417</v>
      </c>
    </row>
    <row r="3050" spans="2:16" x14ac:dyDescent="0.25">
      <c r="B3050" s="336" t="s">
        <v>416</v>
      </c>
      <c r="C3050" s="337">
        <v>39412</v>
      </c>
      <c r="D3050" s="338" t="s">
        <v>3909</v>
      </c>
      <c r="E3050" s="336" t="s">
        <v>718</v>
      </c>
      <c r="F3050" s="338"/>
      <c r="G3050" s="338" t="s">
        <v>413</v>
      </c>
      <c r="H3050" s="338" t="s">
        <v>412</v>
      </c>
      <c r="I3050" s="338" t="s">
        <v>411</v>
      </c>
      <c r="J3050" s="339"/>
      <c r="K3050" s="339"/>
      <c r="L3050" s="339" t="s">
        <v>409</v>
      </c>
      <c r="M3050" s="339" t="s">
        <v>409</v>
      </c>
      <c r="N3050" s="338" t="s">
        <v>410</v>
      </c>
      <c r="O3050" s="338" t="s">
        <v>409</v>
      </c>
      <c r="P3050" s="338" t="s">
        <v>417</v>
      </c>
    </row>
    <row r="3051" spans="2:16" x14ac:dyDescent="0.25">
      <c r="B3051" s="336" t="s">
        <v>416</v>
      </c>
      <c r="C3051" s="337">
        <v>39409</v>
      </c>
      <c r="D3051" s="338" t="s">
        <v>3908</v>
      </c>
      <c r="E3051" s="336" t="s">
        <v>3907</v>
      </c>
      <c r="F3051" s="338" t="s">
        <v>3906</v>
      </c>
      <c r="G3051" s="338">
        <v>64.760000000000005</v>
      </c>
      <c r="H3051" s="338" t="s">
        <v>425</v>
      </c>
      <c r="I3051" s="338" t="s">
        <v>411</v>
      </c>
      <c r="J3051" s="339"/>
      <c r="K3051" s="339"/>
      <c r="L3051" s="339"/>
      <c r="M3051" s="339"/>
      <c r="N3051" s="338"/>
      <c r="O3051" s="338" t="s">
        <v>417</v>
      </c>
      <c r="P3051" s="338" t="s">
        <v>417</v>
      </c>
    </row>
    <row r="3052" spans="2:16" x14ac:dyDescent="0.25">
      <c r="B3052" s="336" t="s">
        <v>416</v>
      </c>
      <c r="C3052" s="337">
        <v>39406</v>
      </c>
      <c r="D3052" s="338" t="s">
        <v>3905</v>
      </c>
      <c r="E3052" s="336" t="s">
        <v>3904</v>
      </c>
      <c r="F3052" s="338"/>
      <c r="G3052" s="338" t="s">
        <v>413</v>
      </c>
      <c r="H3052" s="338" t="s">
        <v>429</v>
      </c>
      <c r="I3052" s="338" t="s">
        <v>411</v>
      </c>
      <c r="J3052" s="339"/>
      <c r="K3052" s="339"/>
      <c r="L3052" s="339" t="s">
        <v>409</v>
      </c>
      <c r="M3052" s="339" t="s">
        <v>409</v>
      </c>
      <c r="N3052" s="338" t="s">
        <v>417</v>
      </c>
      <c r="O3052" s="338" t="s">
        <v>409</v>
      </c>
      <c r="P3052" s="338" t="s">
        <v>432</v>
      </c>
    </row>
    <row r="3053" spans="2:16" x14ac:dyDescent="0.25">
      <c r="B3053" s="336" t="s">
        <v>416</v>
      </c>
      <c r="C3053" s="337">
        <v>39405</v>
      </c>
      <c r="D3053" s="338" t="s">
        <v>3903</v>
      </c>
      <c r="E3053" s="336" t="s">
        <v>3360</v>
      </c>
      <c r="F3053" s="338"/>
      <c r="G3053" s="338" t="s">
        <v>413</v>
      </c>
      <c r="H3053" s="338" t="s">
        <v>412</v>
      </c>
      <c r="I3053" s="338" t="s">
        <v>411</v>
      </c>
      <c r="J3053" s="339"/>
      <c r="K3053" s="339"/>
      <c r="L3053" s="339" t="s">
        <v>409</v>
      </c>
      <c r="M3053" s="339" t="s">
        <v>409</v>
      </c>
      <c r="N3053" s="338"/>
      <c r="O3053" s="338" t="s">
        <v>409</v>
      </c>
      <c r="P3053" s="338" t="s">
        <v>410</v>
      </c>
    </row>
    <row r="3054" spans="2:16" x14ac:dyDescent="0.25">
      <c r="B3054" s="336" t="s">
        <v>459</v>
      </c>
      <c r="C3054" s="337">
        <v>39405</v>
      </c>
      <c r="D3054" s="338" t="s">
        <v>3902</v>
      </c>
      <c r="E3054" s="336" t="s">
        <v>1107</v>
      </c>
      <c r="F3054" s="338"/>
      <c r="G3054" s="338">
        <v>33</v>
      </c>
      <c r="H3054" s="338" t="s">
        <v>425</v>
      </c>
      <c r="I3054" s="338" t="s">
        <v>411</v>
      </c>
      <c r="J3054" s="339"/>
      <c r="K3054" s="339"/>
      <c r="L3054" s="339" t="s">
        <v>409</v>
      </c>
      <c r="M3054" s="339" t="s">
        <v>409</v>
      </c>
      <c r="N3054" s="338" t="s">
        <v>417</v>
      </c>
      <c r="O3054" s="338" t="s">
        <v>409</v>
      </c>
      <c r="P3054" s="338" t="s">
        <v>417</v>
      </c>
    </row>
    <row r="3055" spans="2:16" x14ac:dyDescent="0.25">
      <c r="B3055" s="336" t="s">
        <v>416</v>
      </c>
      <c r="C3055" s="337">
        <v>39405</v>
      </c>
      <c r="D3055" s="338" t="s">
        <v>552</v>
      </c>
      <c r="E3055" s="336" t="s">
        <v>3901</v>
      </c>
      <c r="F3055" s="338" t="s">
        <v>3900</v>
      </c>
      <c r="G3055" s="338" t="s">
        <v>413</v>
      </c>
      <c r="H3055" s="338" t="s">
        <v>425</v>
      </c>
      <c r="I3055" s="338" t="s">
        <v>411</v>
      </c>
      <c r="J3055" s="339"/>
      <c r="K3055" s="339"/>
      <c r="L3055" s="339"/>
      <c r="M3055" s="339"/>
      <c r="N3055" s="338"/>
      <c r="O3055" s="338" t="s">
        <v>417</v>
      </c>
      <c r="P3055" s="338" t="s">
        <v>417</v>
      </c>
    </row>
    <row r="3056" spans="2:16" x14ac:dyDescent="0.25">
      <c r="B3056" s="336" t="s">
        <v>459</v>
      </c>
      <c r="C3056" s="337">
        <v>39405</v>
      </c>
      <c r="D3056" s="338" t="s">
        <v>3899</v>
      </c>
      <c r="E3056" s="336" t="s">
        <v>3898</v>
      </c>
      <c r="F3056" s="338"/>
      <c r="G3056" s="338" t="s">
        <v>413</v>
      </c>
      <c r="H3056" s="338" t="s">
        <v>425</v>
      </c>
      <c r="I3056" s="338" t="s">
        <v>411</v>
      </c>
      <c r="J3056" s="339"/>
      <c r="K3056" s="339"/>
      <c r="L3056" s="339" t="s">
        <v>409</v>
      </c>
      <c r="M3056" s="339" t="s">
        <v>409</v>
      </c>
      <c r="N3056" s="338" t="s">
        <v>410</v>
      </c>
      <c r="O3056" s="338" t="s">
        <v>409</v>
      </c>
      <c r="P3056" s="338" t="s">
        <v>443</v>
      </c>
    </row>
    <row r="3057" spans="2:16" x14ac:dyDescent="0.25">
      <c r="B3057" s="336" t="s">
        <v>416</v>
      </c>
      <c r="C3057" s="337">
        <v>39405</v>
      </c>
      <c r="D3057" s="338" t="s">
        <v>3897</v>
      </c>
      <c r="E3057" s="336" t="s">
        <v>3896</v>
      </c>
      <c r="F3057" s="338"/>
      <c r="G3057" s="338">
        <v>2.71</v>
      </c>
      <c r="H3057" s="338" t="s">
        <v>425</v>
      </c>
      <c r="I3057" s="338" t="s">
        <v>411</v>
      </c>
      <c r="J3057" s="339"/>
      <c r="K3057" s="339"/>
      <c r="L3057" s="339" t="s">
        <v>409</v>
      </c>
      <c r="M3057" s="339" t="s">
        <v>409</v>
      </c>
      <c r="N3057" s="338" t="s">
        <v>408</v>
      </c>
      <c r="O3057" s="338" t="s">
        <v>409</v>
      </c>
      <c r="P3057" s="338" t="s">
        <v>417</v>
      </c>
    </row>
    <row r="3058" spans="2:16" x14ac:dyDescent="0.25">
      <c r="B3058" s="336" t="s">
        <v>459</v>
      </c>
      <c r="C3058" s="337">
        <v>39405</v>
      </c>
      <c r="D3058" s="338" t="s">
        <v>3895</v>
      </c>
      <c r="E3058" s="336" t="s">
        <v>3642</v>
      </c>
      <c r="F3058" s="338"/>
      <c r="G3058" s="338" t="s">
        <v>413</v>
      </c>
      <c r="H3058" s="338" t="s">
        <v>425</v>
      </c>
      <c r="I3058" s="338" t="s">
        <v>411</v>
      </c>
      <c r="J3058" s="339"/>
      <c r="K3058" s="339"/>
      <c r="L3058" s="339" t="s">
        <v>409</v>
      </c>
      <c r="M3058" s="339" t="s">
        <v>409</v>
      </c>
      <c r="N3058" s="338" t="s">
        <v>417</v>
      </c>
      <c r="O3058" s="338" t="s">
        <v>409</v>
      </c>
      <c r="P3058" s="338" t="s">
        <v>443</v>
      </c>
    </row>
    <row r="3059" spans="2:16" x14ac:dyDescent="0.25">
      <c r="B3059" s="336" t="s">
        <v>416</v>
      </c>
      <c r="C3059" s="337">
        <v>39405</v>
      </c>
      <c r="D3059" s="338" t="s">
        <v>956</v>
      </c>
      <c r="E3059" s="336" t="s">
        <v>1281</v>
      </c>
      <c r="F3059" s="338" t="s">
        <v>3894</v>
      </c>
      <c r="G3059" s="338">
        <v>45</v>
      </c>
      <c r="H3059" s="338" t="s">
        <v>425</v>
      </c>
      <c r="I3059" s="338" t="s">
        <v>411</v>
      </c>
      <c r="J3059" s="339"/>
      <c r="K3059" s="339"/>
      <c r="L3059" s="339"/>
      <c r="M3059" s="339"/>
      <c r="N3059" s="338"/>
      <c r="O3059" s="338" t="s">
        <v>410</v>
      </c>
      <c r="P3059" s="338" t="s">
        <v>605</v>
      </c>
    </row>
    <row r="3060" spans="2:16" x14ac:dyDescent="0.25">
      <c r="B3060" s="336" t="s">
        <v>416</v>
      </c>
      <c r="C3060" s="337">
        <v>39405</v>
      </c>
      <c r="D3060" s="338" t="s">
        <v>3893</v>
      </c>
      <c r="E3060" s="336" t="s">
        <v>2894</v>
      </c>
      <c r="F3060" s="338"/>
      <c r="G3060" s="338">
        <v>20</v>
      </c>
      <c r="H3060" s="338" t="s">
        <v>425</v>
      </c>
      <c r="I3060" s="338" t="s">
        <v>411</v>
      </c>
      <c r="J3060" s="339"/>
      <c r="K3060" s="339"/>
      <c r="L3060" s="339" t="s">
        <v>409</v>
      </c>
      <c r="M3060" s="339" t="s">
        <v>409</v>
      </c>
      <c r="N3060" s="338" t="s">
        <v>417</v>
      </c>
      <c r="O3060" s="338" t="s">
        <v>409</v>
      </c>
      <c r="P3060" s="338" t="s">
        <v>417</v>
      </c>
    </row>
    <row r="3061" spans="2:16" x14ac:dyDescent="0.25">
      <c r="B3061" s="336" t="s">
        <v>416</v>
      </c>
      <c r="C3061" s="337">
        <v>39402</v>
      </c>
      <c r="D3061" s="338" t="s">
        <v>3892</v>
      </c>
      <c r="E3061" s="336" t="s">
        <v>3891</v>
      </c>
      <c r="F3061" s="338" t="s">
        <v>3890</v>
      </c>
      <c r="G3061" s="338" t="s">
        <v>413</v>
      </c>
      <c r="H3061" s="338" t="s">
        <v>425</v>
      </c>
      <c r="I3061" s="338" t="s">
        <v>411</v>
      </c>
      <c r="J3061" s="339"/>
      <c r="K3061" s="339"/>
      <c r="L3061" s="339">
        <v>0.46571299999999999</v>
      </c>
      <c r="M3061" s="339">
        <v>5.4782200000000003</v>
      </c>
      <c r="N3061" s="338"/>
      <c r="O3061" s="338" t="s">
        <v>408</v>
      </c>
      <c r="P3061" s="338"/>
    </row>
    <row r="3062" spans="2:16" x14ac:dyDescent="0.25">
      <c r="B3062" s="336" t="s">
        <v>416</v>
      </c>
      <c r="C3062" s="337">
        <v>39401</v>
      </c>
      <c r="D3062" s="338" t="s">
        <v>3889</v>
      </c>
      <c r="E3062" s="336" t="s">
        <v>3888</v>
      </c>
      <c r="F3062" s="338" t="s">
        <v>3887</v>
      </c>
      <c r="G3062" s="338" t="s">
        <v>413</v>
      </c>
      <c r="H3062" s="338" t="s">
        <v>425</v>
      </c>
      <c r="I3062" s="338" t="s">
        <v>411</v>
      </c>
      <c r="J3062" s="339"/>
      <c r="K3062" s="339"/>
      <c r="L3062" s="339"/>
      <c r="M3062" s="339"/>
      <c r="N3062" s="338" t="s">
        <v>417</v>
      </c>
      <c r="O3062" s="338" t="s">
        <v>417</v>
      </c>
      <c r="P3062" s="338" t="s">
        <v>543</v>
      </c>
    </row>
    <row r="3063" spans="2:16" x14ac:dyDescent="0.25">
      <c r="B3063" s="336" t="s">
        <v>416</v>
      </c>
      <c r="C3063" s="337">
        <v>39400</v>
      </c>
      <c r="D3063" s="338" t="s">
        <v>3886</v>
      </c>
      <c r="E3063" s="336" t="s">
        <v>3885</v>
      </c>
      <c r="F3063" s="338" t="s">
        <v>3884</v>
      </c>
      <c r="G3063" s="338" t="s">
        <v>413</v>
      </c>
      <c r="H3063" s="338" t="s">
        <v>425</v>
      </c>
      <c r="I3063" s="338" t="s">
        <v>411</v>
      </c>
      <c r="J3063" s="339"/>
      <c r="K3063" s="339"/>
      <c r="L3063" s="339">
        <v>0.44305</v>
      </c>
      <c r="M3063" s="339"/>
      <c r="N3063" s="338"/>
      <c r="O3063" s="338" t="s">
        <v>417</v>
      </c>
      <c r="P3063" s="338" t="s">
        <v>432</v>
      </c>
    </row>
    <row r="3064" spans="2:16" x14ac:dyDescent="0.25">
      <c r="B3064" s="336" t="s">
        <v>416</v>
      </c>
      <c r="C3064" s="337">
        <v>39400</v>
      </c>
      <c r="D3064" s="338" t="s">
        <v>3883</v>
      </c>
      <c r="E3064" s="336" t="s">
        <v>3882</v>
      </c>
      <c r="F3064" s="338" t="s">
        <v>1228</v>
      </c>
      <c r="G3064" s="338">
        <v>604</v>
      </c>
      <c r="H3064" s="338" t="s">
        <v>425</v>
      </c>
      <c r="I3064" s="338" t="s">
        <v>411</v>
      </c>
      <c r="J3064" s="339"/>
      <c r="K3064" s="339"/>
      <c r="L3064" s="339">
        <v>1.84887</v>
      </c>
      <c r="M3064" s="339">
        <v>10.621600000000001</v>
      </c>
      <c r="N3064" s="338"/>
      <c r="O3064" s="338" t="s">
        <v>410</v>
      </c>
      <c r="P3064" s="338" t="s">
        <v>410</v>
      </c>
    </row>
    <row r="3065" spans="2:16" x14ac:dyDescent="0.25">
      <c r="B3065" s="336" t="s">
        <v>416</v>
      </c>
      <c r="C3065" s="337">
        <v>39400</v>
      </c>
      <c r="D3065" s="338" t="s">
        <v>3881</v>
      </c>
      <c r="E3065" s="336" t="s">
        <v>3880</v>
      </c>
      <c r="F3065" s="338"/>
      <c r="G3065" s="338" t="s">
        <v>413</v>
      </c>
      <c r="H3065" s="338" t="s">
        <v>425</v>
      </c>
      <c r="I3065" s="338" t="s">
        <v>411</v>
      </c>
      <c r="J3065" s="339"/>
      <c r="K3065" s="339"/>
      <c r="L3065" s="339" t="s">
        <v>409</v>
      </c>
      <c r="M3065" s="339" t="s">
        <v>409</v>
      </c>
      <c r="N3065" s="338"/>
      <c r="O3065" s="338" t="s">
        <v>409</v>
      </c>
      <c r="P3065" s="338" t="s">
        <v>410</v>
      </c>
    </row>
    <row r="3066" spans="2:16" x14ac:dyDescent="0.25">
      <c r="B3066" s="336" t="s">
        <v>416</v>
      </c>
      <c r="C3066" s="337">
        <v>39399</v>
      </c>
      <c r="D3066" s="338" t="s">
        <v>3879</v>
      </c>
      <c r="E3066" s="336" t="s">
        <v>3878</v>
      </c>
      <c r="F3066" s="338"/>
      <c r="G3066" s="338" t="s">
        <v>413</v>
      </c>
      <c r="H3066" s="338" t="s">
        <v>412</v>
      </c>
      <c r="I3066" s="338" t="s">
        <v>411</v>
      </c>
      <c r="J3066" s="339"/>
      <c r="K3066" s="339"/>
      <c r="L3066" s="339" t="s">
        <v>409</v>
      </c>
      <c r="M3066" s="339" t="s">
        <v>409</v>
      </c>
      <c r="N3066" s="338" t="s">
        <v>417</v>
      </c>
      <c r="O3066" s="338" t="s">
        <v>409</v>
      </c>
      <c r="P3066" s="338" t="s">
        <v>443</v>
      </c>
    </row>
    <row r="3067" spans="2:16" x14ac:dyDescent="0.25">
      <c r="B3067" s="336" t="s">
        <v>416</v>
      </c>
      <c r="C3067" s="337">
        <v>39399</v>
      </c>
      <c r="D3067" s="338" t="s">
        <v>3877</v>
      </c>
      <c r="E3067" s="336" t="s">
        <v>1140</v>
      </c>
      <c r="F3067" s="338" t="s">
        <v>1141</v>
      </c>
      <c r="G3067" s="338">
        <v>64.599999999999994</v>
      </c>
      <c r="H3067" s="338" t="s">
        <v>425</v>
      </c>
      <c r="I3067" s="338" t="s">
        <v>411</v>
      </c>
      <c r="J3067" s="339"/>
      <c r="K3067" s="339"/>
      <c r="L3067" s="339">
        <v>0.37331999999999999</v>
      </c>
      <c r="M3067" s="339">
        <v>4.8490200000000003</v>
      </c>
      <c r="N3067" s="338" t="s">
        <v>417</v>
      </c>
      <c r="O3067" s="338" t="s">
        <v>417</v>
      </c>
      <c r="P3067" s="338" t="s">
        <v>417</v>
      </c>
    </row>
    <row r="3068" spans="2:16" x14ac:dyDescent="0.25">
      <c r="B3068" s="336" t="s">
        <v>416</v>
      </c>
      <c r="C3068" s="337">
        <v>39399</v>
      </c>
      <c r="D3068" s="338" t="s">
        <v>3876</v>
      </c>
      <c r="E3068" s="336" t="s">
        <v>3875</v>
      </c>
      <c r="F3068" s="338"/>
      <c r="G3068" s="338" t="s">
        <v>413</v>
      </c>
      <c r="H3068" s="338" t="s">
        <v>425</v>
      </c>
      <c r="I3068" s="338" t="s">
        <v>411</v>
      </c>
      <c r="J3068" s="339"/>
      <c r="K3068" s="339"/>
      <c r="L3068" s="339" t="s">
        <v>409</v>
      </c>
      <c r="M3068" s="339" t="s">
        <v>409</v>
      </c>
      <c r="N3068" s="338" t="s">
        <v>417</v>
      </c>
      <c r="O3068" s="338" t="s">
        <v>409</v>
      </c>
      <c r="P3068" s="338" t="s">
        <v>443</v>
      </c>
    </row>
    <row r="3069" spans="2:16" x14ac:dyDescent="0.25">
      <c r="B3069" s="336" t="s">
        <v>416</v>
      </c>
      <c r="C3069" s="337">
        <v>39399</v>
      </c>
      <c r="D3069" s="338" t="s">
        <v>3874</v>
      </c>
      <c r="E3069" s="336" t="s">
        <v>3093</v>
      </c>
      <c r="F3069" s="338"/>
      <c r="G3069" s="338">
        <v>1.9</v>
      </c>
      <c r="H3069" s="338" t="s">
        <v>425</v>
      </c>
      <c r="I3069" s="338" t="s">
        <v>411</v>
      </c>
      <c r="J3069" s="339"/>
      <c r="K3069" s="339"/>
      <c r="L3069" s="339" t="s">
        <v>409</v>
      </c>
      <c r="M3069" s="339" t="s">
        <v>409</v>
      </c>
      <c r="N3069" s="338"/>
      <c r="O3069" s="338" t="s">
        <v>409</v>
      </c>
      <c r="P3069" s="338" t="s">
        <v>417</v>
      </c>
    </row>
    <row r="3070" spans="2:16" x14ac:dyDescent="0.25">
      <c r="B3070" s="336" t="s">
        <v>416</v>
      </c>
      <c r="C3070" s="337">
        <v>39399</v>
      </c>
      <c r="D3070" s="338" t="s">
        <v>3873</v>
      </c>
      <c r="E3070" s="336" t="s">
        <v>1234</v>
      </c>
      <c r="F3070" s="338"/>
      <c r="G3070" s="338" t="s">
        <v>413</v>
      </c>
      <c r="H3070" s="338" t="s">
        <v>412</v>
      </c>
      <c r="I3070" s="338" t="s">
        <v>411</v>
      </c>
      <c r="J3070" s="339"/>
      <c r="K3070" s="339"/>
      <c r="L3070" s="339" t="s">
        <v>409</v>
      </c>
      <c r="M3070" s="339" t="s">
        <v>409</v>
      </c>
      <c r="N3070" s="338" t="s">
        <v>417</v>
      </c>
      <c r="O3070" s="338" t="s">
        <v>409</v>
      </c>
      <c r="P3070" s="338" t="s">
        <v>417</v>
      </c>
    </row>
    <row r="3071" spans="2:16" x14ac:dyDescent="0.25">
      <c r="B3071" s="336" t="s">
        <v>416</v>
      </c>
      <c r="C3071" s="337">
        <v>39399</v>
      </c>
      <c r="D3071" s="338" t="s">
        <v>956</v>
      </c>
      <c r="E3071" s="336" t="s">
        <v>3872</v>
      </c>
      <c r="F3071" s="338" t="s">
        <v>3871</v>
      </c>
      <c r="G3071" s="338" t="s">
        <v>413</v>
      </c>
      <c r="H3071" s="338" t="s">
        <v>425</v>
      </c>
      <c r="I3071" s="338" t="s">
        <v>411</v>
      </c>
      <c r="J3071" s="339"/>
      <c r="K3071" s="339"/>
      <c r="L3071" s="339"/>
      <c r="M3071" s="339"/>
      <c r="N3071" s="338"/>
      <c r="O3071" s="338" t="s">
        <v>417</v>
      </c>
      <c r="P3071" s="338" t="s">
        <v>417</v>
      </c>
    </row>
    <row r="3072" spans="2:16" x14ac:dyDescent="0.25">
      <c r="B3072" s="336" t="s">
        <v>416</v>
      </c>
      <c r="C3072" s="337">
        <v>39399</v>
      </c>
      <c r="D3072" s="338" t="s">
        <v>3870</v>
      </c>
      <c r="E3072" s="336" t="s">
        <v>1141</v>
      </c>
      <c r="F3072" s="338" t="s">
        <v>1309</v>
      </c>
      <c r="G3072" s="338">
        <v>35</v>
      </c>
      <c r="H3072" s="338" t="s">
        <v>425</v>
      </c>
      <c r="I3072" s="338" t="s">
        <v>411</v>
      </c>
      <c r="J3072" s="339"/>
      <c r="K3072" s="339"/>
      <c r="L3072" s="339"/>
      <c r="M3072" s="339"/>
      <c r="N3072" s="338"/>
      <c r="O3072" s="338" t="s">
        <v>417</v>
      </c>
      <c r="P3072" s="338" t="s">
        <v>417</v>
      </c>
    </row>
    <row r="3073" spans="2:16" x14ac:dyDescent="0.25">
      <c r="B3073" s="336" t="s">
        <v>416</v>
      </c>
      <c r="C3073" s="337">
        <v>39398</v>
      </c>
      <c r="D3073" s="338" t="s">
        <v>3869</v>
      </c>
      <c r="E3073" s="336" t="s">
        <v>3868</v>
      </c>
      <c r="F3073" s="338" t="s">
        <v>3867</v>
      </c>
      <c r="G3073" s="338" t="s">
        <v>413</v>
      </c>
      <c r="H3073" s="338" t="s">
        <v>425</v>
      </c>
      <c r="I3073" s="338" t="s">
        <v>411</v>
      </c>
      <c r="J3073" s="339"/>
      <c r="K3073" s="339"/>
      <c r="L3073" s="339"/>
      <c r="M3073" s="339"/>
      <c r="N3073" s="338"/>
      <c r="O3073" s="338" t="s">
        <v>605</v>
      </c>
      <c r="P3073" s="338" t="s">
        <v>417</v>
      </c>
    </row>
    <row r="3074" spans="2:16" x14ac:dyDescent="0.25">
      <c r="B3074" s="336" t="s">
        <v>416</v>
      </c>
      <c r="C3074" s="337">
        <v>39395</v>
      </c>
      <c r="D3074" s="338" t="s">
        <v>3866</v>
      </c>
      <c r="E3074" s="336" t="s">
        <v>3865</v>
      </c>
      <c r="F3074" s="338" t="s">
        <v>3864</v>
      </c>
      <c r="G3074" s="338">
        <v>13</v>
      </c>
      <c r="H3074" s="338" t="s">
        <v>425</v>
      </c>
      <c r="I3074" s="338" t="s">
        <v>411</v>
      </c>
      <c r="J3074" s="339"/>
      <c r="K3074" s="339"/>
      <c r="L3074" s="339">
        <v>0.90106399999999998</v>
      </c>
      <c r="M3074" s="339">
        <v>10.055099999999999</v>
      </c>
      <c r="N3074" s="338"/>
      <c r="O3074" s="338" t="s">
        <v>410</v>
      </c>
      <c r="P3074" s="338" t="s">
        <v>410</v>
      </c>
    </row>
    <row r="3075" spans="2:16" x14ac:dyDescent="0.25">
      <c r="B3075" s="336" t="s">
        <v>416</v>
      </c>
      <c r="C3075" s="337">
        <v>39395</v>
      </c>
      <c r="D3075" s="338" t="s">
        <v>3863</v>
      </c>
      <c r="E3075" s="336" t="s">
        <v>3375</v>
      </c>
      <c r="F3075" s="338" t="s">
        <v>3862</v>
      </c>
      <c r="G3075" s="338" t="s">
        <v>413</v>
      </c>
      <c r="H3075" s="338" t="s">
        <v>425</v>
      </c>
      <c r="I3075" s="338" t="s">
        <v>411</v>
      </c>
      <c r="J3075" s="339"/>
      <c r="K3075" s="339"/>
      <c r="L3075" s="339"/>
      <c r="M3075" s="339"/>
      <c r="N3075" s="338"/>
      <c r="O3075" s="338" t="s">
        <v>543</v>
      </c>
      <c r="P3075" s="338" t="s">
        <v>417</v>
      </c>
    </row>
    <row r="3076" spans="2:16" x14ac:dyDescent="0.25">
      <c r="B3076" s="336" t="s">
        <v>416</v>
      </c>
      <c r="C3076" s="337">
        <v>39395</v>
      </c>
      <c r="D3076" s="338" t="s">
        <v>3861</v>
      </c>
      <c r="E3076" s="336" t="s">
        <v>3860</v>
      </c>
      <c r="F3076" s="338"/>
      <c r="G3076" s="338" t="s">
        <v>413</v>
      </c>
      <c r="H3076" s="338" t="s">
        <v>412</v>
      </c>
      <c r="I3076" s="338" t="s">
        <v>411</v>
      </c>
      <c r="J3076" s="339"/>
      <c r="K3076" s="339"/>
      <c r="L3076" s="339" t="s">
        <v>409</v>
      </c>
      <c r="M3076" s="339" t="s">
        <v>409</v>
      </c>
      <c r="N3076" s="338" t="s">
        <v>417</v>
      </c>
      <c r="O3076" s="338" t="s">
        <v>409</v>
      </c>
      <c r="P3076" s="338"/>
    </row>
    <row r="3077" spans="2:16" x14ac:dyDescent="0.25">
      <c r="B3077" s="336" t="s">
        <v>416</v>
      </c>
      <c r="C3077" s="337">
        <v>39394</v>
      </c>
      <c r="D3077" s="338" t="s">
        <v>3859</v>
      </c>
      <c r="E3077" s="336" t="s">
        <v>804</v>
      </c>
      <c r="F3077" s="338"/>
      <c r="G3077" s="338">
        <v>278.44</v>
      </c>
      <c r="H3077" s="338" t="s">
        <v>425</v>
      </c>
      <c r="I3077" s="338" t="s">
        <v>411</v>
      </c>
      <c r="J3077" s="339">
        <v>0.42969499999999999</v>
      </c>
      <c r="K3077" s="339">
        <v>83.4589</v>
      </c>
      <c r="L3077" s="339" t="s">
        <v>409</v>
      </c>
      <c r="M3077" s="339" t="s">
        <v>409</v>
      </c>
      <c r="N3077" s="338" t="s">
        <v>417</v>
      </c>
      <c r="O3077" s="338" t="s">
        <v>409</v>
      </c>
      <c r="P3077" s="338" t="s">
        <v>443</v>
      </c>
    </row>
    <row r="3078" spans="2:16" x14ac:dyDescent="0.25">
      <c r="B3078" s="336" t="s">
        <v>416</v>
      </c>
      <c r="C3078" s="337">
        <v>39394</v>
      </c>
      <c r="D3078" s="338" t="s">
        <v>3858</v>
      </c>
      <c r="E3078" s="336" t="s">
        <v>3857</v>
      </c>
      <c r="F3078" s="338"/>
      <c r="G3078" s="338">
        <v>55</v>
      </c>
      <c r="H3078" s="338" t="s">
        <v>425</v>
      </c>
      <c r="I3078" s="338" t="s">
        <v>411</v>
      </c>
      <c r="J3078" s="339"/>
      <c r="K3078" s="339"/>
      <c r="L3078" s="339" t="s">
        <v>409</v>
      </c>
      <c r="M3078" s="339" t="s">
        <v>409</v>
      </c>
      <c r="N3078" s="338" t="s">
        <v>408</v>
      </c>
      <c r="O3078" s="338" t="s">
        <v>409</v>
      </c>
      <c r="P3078" s="338" t="s">
        <v>417</v>
      </c>
    </row>
    <row r="3079" spans="2:16" x14ac:dyDescent="0.25">
      <c r="B3079" s="336" t="s">
        <v>416</v>
      </c>
      <c r="C3079" s="337">
        <v>39393</v>
      </c>
      <c r="D3079" s="338" t="s">
        <v>3856</v>
      </c>
      <c r="E3079" s="336" t="s">
        <v>3855</v>
      </c>
      <c r="F3079" s="338" t="s">
        <v>889</v>
      </c>
      <c r="G3079" s="338" t="s">
        <v>413</v>
      </c>
      <c r="H3079" s="338" t="s">
        <v>425</v>
      </c>
      <c r="I3079" s="338" t="s">
        <v>411</v>
      </c>
      <c r="J3079" s="339"/>
      <c r="K3079" s="339"/>
      <c r="L3079" s="339">
        <v>2.9470299999999998</v>
      </c>
      <c r="M3079" s="339">
        <v>13.790100000000001</v>
      </c>
      <c r="N3079" s="338"/>
      <c r="O3079" s="338" t="s">
        <v>410</v>
      </c>
      <c r="P3079" s="338" t="s">
        <v>410</v>
      </c>
    </row>
    <row r="3080" spans="2:16" x14ac:dyDescent="0.25">
      <c r="B3080" s="336" t="s">
        <v>416</v>
      </c>
      <c r="C3080" s="337">
        <v>39393</v>
      </c>
      <c r="D3080" s="338" t="s">
        <v>3854</v>
      </c>
      <c r="E3080" s="336" t="s">
        <v>3853</v>
      </c>
      <c r="F3080" s="338"/>
      <c r="G3080" s="338" t="s">
        <v>413</v>
      </c>
      <c r="H3080" s="338" t="s">
        <v>336</v>
      </c>
      <c r="I3080" s="338" t="s">
        <v>411</v>
      </c>
      <c r="J3080" s="339"/>
      <c r="K3080" s="339"/>
      <c r="L3080" s="339" t="s">
        <v>409</v>
      </c>
      <c r="M3080" s="339" t="s">
        <v>409</v>
      </c>
      <c r="N3080" s="338" t="s">
        <v>482</v>
      </c>
      <c r="O3080" s="338" t="s">
        <v>409</v>
      </c>
      <c r="P3080" s="338" t="s">
        <v>432</v>
      </c>
    </row>
    <row r="3081" spans="2:16" x14ac:dyDescent="0.25">
      <c r="B3081" s="336" t="s">
        <v>416</v>
      </c>
      <c r="C3081" s="337">
        <v>39392</v>
      </c>
      <c r="D3081" s="338" t="s">
        <v>3852</v>
      </c>
      <c r="E3081" s="336" t="s">
        <v>2190</v>
      </c>
      <c r="F3081" s="338" t="s">
        <v>3851</v>
      </c>
      <c r="G3081" s="338">
        <v>94</v>
      </c>
      <c r="H3081" s="338" t="s">
        <v>425</v>
      </c>
      <c r="I3081" s="338" t="s">
        <v>411</v>
      </c>
      <c r="J3081" s="339"/>
      <c r="K3081" s="339"/>
      <c r="L3081" s="339"/>
      <c r="M3081" s="339"/>
      <c r="N3081" s="338"/>
      <c r="O3081" s="338" t="s">
        <v>417</v>
      </c>
      <c r="P3081" s="338" t="s">
        <v>417</v>
      </c>
    </row>
    <row r="3082" spans="2:16" x14ac:dyDescent="0.25">
      <c r="B3082" s="336" t="s">
        <v>416</v>
      </c>
      <c r="C3082" s="337">
        <v>39392</v>
      </c>
      <c r="D3082" s="338" t="s">
        <v>3850</v>
      </c>
      <c r="E3082" s="336" t="s">
        <v>453</v>
      </c>
      <c r="F3082" s="338"/>
      <c r="G3082" s="338" t="s">
        <v>413</v>
      </c>
      <c r="H3082" s="338" t="s">
        <v>425</v>
      </c>
      <c r="I3082" s="338" t="s">
        <v>411</v>
      </c>
      <c r="J3082" s="339"/>
      <c r="K3082" s="339"/>
      <c r="L3082" s="339" t="s">
        <v>409</v>
      </c>
      <c r="M3082" s="339" t="s">
        <v>409</v>
      </c>
      <c r="N3082" s="338" t="s">
        <v>487</v>
      </c>
      <c r="O3082" s="338" t="s">
        <v>409</v>
      </c>
      <c r="P3082" s="338" t="s">
        <v>443</v>
      </c>
    </row>
    <row r="3083" spans="2:16" x14ac:dyDescent="0.25">
      <c r="B3083" s="336" t="s">
        <v>416</v>
      </c>
      <c r="C3083" s="337">
        <v>39392</v>
      </c>
      <c r="D3083" s="338" t="s">
        <v>3849</v>
      </c>
      <c r="E3083" s="336" t="s">
        <v>1281</v>
      </c>
      <c r="F3083" s="338"/>
      <c r="G3083" s="338">
        <v>82</v>
      </c>
      <c r="H3083" s="338" t="s">
        <v>425</v>
      </c>
      <c r="I3083" s="338" t="s">
        <v>411</v>
      </c>
      <c r="J3083" s="339"/>
      <c r="K3083" s="339"/>
      <c r="L3083" s="339" t="s">
        <v>409</v>
      </c>
      <c r="M3083" s="339" t="s">
        <v>409</v>
      </c>
      <c r="N3083" s="338" t="s">
        <v>432</v>
      </c>
      <c r="O3083" s="338" t="s">
        <v>409</v>
      </c>
      <c r="P3083" s="338" t="s">
        <v>605</v>
      </c>
    </row>
    <row r="3084" spans="2:16" x14ac:dyDescent="0.25">
      <c r="B3084" s="336" t="s">
        <v>416</v>
      </c>
      <c r="C3084" s="337">
        <v>39392</v>
      </c>
      <c r="D3084" s="338" t="s">
        <v>3848</v>
      </c>
      <c r="E3084" s="336" t="s">
        <v>3847</v>
      </c>
      <c r="F3084" s="338"/>
      <c r="G3084" s="338" t="s">
        <v>413</v>
      </c>
      <c r="H3084" s="338" t="s">
        <v>425</v>
      </c>
      <c r="I3084" s="338" t="s">
        <v>411</v>
      </c>
      <c r="J3084" s="339"/>
      <c r="K3084" s="339"/>
      <c r="L3084" s="339" t="s">
        <v>409</v>
      </c>
      <c r="M3084" s="339" t="s">
        <v>409</v>
      </c>
      <c r="N3084" s="338" t="s">
        <v>487</v>
      </c>
      <c r="O3084" s="338" t="s">
        <v>409</v>
      </c>
      <c r="P3084" s="338" t="s">
        <v>417</v>
      </c>
    </row>
    <row r="3085" spans="2:16" x14ac:dyDescent="0.25">
      <c r="B3085" s="336" t="s">
        <v>416</v>
      </c>
      <c r="C3085" s="337">
        <v>39391</v>
      </c>
      <c r="D3085" s="338" t="s">
        <v>3846</v>
      </c>
      <c r="E3085" s="336" t="s">
        <v>1619</v>
      </c>
      <c r="F3085" s="338" t="s">
        <v>3845</v>
      </c>
      <c r="G3085" s="338" t="s">
        <v>413</v>
      </c>
      <c r="H3085" s="338" t="s">
        <v>425</v>
      </c>
      <c r="I3085" s="338" t="s">
        <v>411</v>
      </c>
      <c r="J3085" s="339"/>
      <c r="K3085" s="339"/>
      <c r="L3085" s="339"/>
      <c r="M3085" s="339"/>
      <c r="N3085" s="338"/>
      <c r="O3085" s="338" t="s">
        <v>410</v>
      </c>
      <c r="P3085" s="338" t="s">
        <v>417</v>
      </c>
    </row>
    <row r="3086" spans="2:16" x14ac:dyDescent="0.25">
      <c r="B3086" s="336" t="s">
        <v>416</v>
      </c>
      <c r="C3086" s="337">
        <v>39388</v>
      </c>
      <c r="D3086" s="338" t="s">
        <v>3844</v>
      </c>
      <c r="E3086" s="336" t="s">
        <v>669</v>
      </c>
      <c r="F3086" s="338" t="s">
        <v>3843</v>
      </c>
      <c r="G3086" s="338">
        <v>166.2</v>
      </c>
      <c r="H3086" s="338" t="s">
        <v>425</v>
      </c>
      <c r="I3086" s="338" t="s">
        <v>411</v>
      </c>
      <c r="J3086" s="339"/>
      <c r="K3086" s="339"/>
      <c r="L3086" s="339">
        <v>0.39189000000000002</v>
      </c>
      <c r="M3086" s="339">
        <v>8.8805499999999995</v>
      </c>
      <c r="N3086" s="338"/>
      <c r="O3086" s="338" t="s">
        <v>417</v>
      </c>
      <c r="P3086" s="338"/>
    </row>
    <row r="3087" spans="2:16" x14ac:dyDescent="0.25">
      <c r="B3087" s="336" t="s">
        <v>416</v>
      </c>
      <c r="C3087" s="337">
        <v>39388</v>
      </c>
      <c r="D3087" s="338" t="s">
        <v>3842</v>
      </c>
      <c r="E3087" s="336" t="s">
        <v>3841</v>
      </c>
      <c r="F3087" s="338"/>
      <c r="G3087" s="338">
        <v>340</v>
      </c>
      <c r="H3087" s="338" t="s">
        <v>425</v>
      </c>
      <c r="I3087" s="338" t="s">
        <v>411</v>
      </c>
      <c r="J3087" s="339"/>
      <c r="K3087" s="339"/>
      <c r="L3087" s="339" t="s">
        <v>409</v>
      </c>
      <c r="M3087" s="339" t="s">
        <v>409</v>
      </c>
      <c r="N3087" s="338" t="s">
        <v>417</v>
      </c>
      <c r="O3087" s="338" t="s">
        <v>409</v>
      </c>
      <c r="P3087" s="338" t="s">
        <v>417</v>
      </c>
    </row>
    <row r="3088" spans="2:16" x14ac:dyDescent="0.25">
      <c r="B3088" s="336" t="s">
        <v>416</v>
      </c>
      <c r="C3088" s="337">
        <v>39387</v>
      </c>
      <c r="D3088" s="338" t="s">
        <v>3840</v>
      </c>
      <c r="E3088" s="336" t="s">
        <v>3839</v>
      </c>
      <c r="F3088" s="338"/>
      <c r="G3088" s="338" t="s">
        <v>413</v>
      </c>
      <c r="H3088" s="338" t="s">
        <v>425</v>
      </c>
      <c r="I3088" s="338" t="s">
        <v>411</v>
      </c>
      <c r="J3088" s="339"/>
      <c r="K3088" s="339"/>
      <c r="L3088" s="339" t="s">
        <v>409</v>
      </c>
      <c r="M3088" s="339" t="s">
        <v>409</v>
      </c>
      <c r="N3088" s="338"/>
      <c r="O3088" s="338" t="s">
        <v>409</v>
      </c>
      <c r="P3088" s="338"/>
    </row>
    <row r="3089" spans="2:16" x14ac:dyDescent="0.25">
      <c r="B3089" s="336" t="s">
        <v>416</v>
      </c>
      <c r="C3089" s="337">
        <v>39387</v>
      </c>
      <c r="D3089" s="338" t="s">
        <v>3838</v>
      </c>
      <c r="E3089" s="336" t="s">
        <v>3837</v>
      </c>
      <c r="F3089" s="338"/>
      <c r="G3089" s="338" t="s">
        <v>413</v>
      </c>
      <c r="H3089" s="338" t="s">
        <v>412</v>
      </c>
      <c r="I3089" s="338" t="s">
        <v>411</v>
      </c>
      <c r="J3089" s="339"/>
      <c r="K3089" s="339"/>
      <c r="L3089" s="339" t="s">
        <v>409</v>
      </c>
      <c r="M3089" s="339" t="s">
        <v>409</v>
      </c>
      <c r="N3089" s="338" t="s">
        <v>417</v>
      </c>
      <c r="O3089" s="338" t="s">
        <v>409</v>
      </c>
      <c r="P3089" s="338" t="s">
        <v>432</v>
      </c>
    </row>
    <row r="3090" spans="2:16" x14ac:dyDescent="0.25">
      <c r="B3090" s="336" t="s">
        <v>416</v>
      </c>
      <c r="C3090" s="337">
        <v>39386</v>
      </c>
      <c r="D3090" s="338" t="s">
        <v>3836</v>
      </c>
      <c r="E3090" s="336" t="s">
        <v>1194</v>
      </c>
      <c r="F3090" s="338"/>
      <c r="G3090" s="338">
        <v>25.01</v>
      </c>
      <c r="H3090" s="338" t="s">
        <v>425</v>
      </c>
      <c r="I3090" s="338" t="s">
        <v>411</v>
      </c>
      <c r="J3090" s="339">
        <v>0.36369600000000002</v>
      </c>
      <c r="K3090" s="339">
        <v>6.9309399999999997</v>
      </c>
      <c r="L3090" s="339" t="s">
        <v>409</v>
      </c>
      <c r="M3090" s="339" t="s">
        <v>409</v>
      </c>
      <c r="N3090" s="338" t="s">
        <v>417</v>
      </c>
      <c r="O3090" s="338" t="s">
        <v>409</v>
      </c>
      <c r="P3090" s="338" t="s">
        <v>417</v>
      </c>
    </row>
    <row r="3091" spans="2:16" x14ac:dyDescent="0.25">
      <c r="B3091" s="336" t="s">
        <v>416</v>
      </c>
      <c r="C3091" s="337">
        <v>39386</v>
      </c>
      <c r="D3091" s="338" t="s">
        <v>3835</v>
      </c>
      <c r="E3091" s="336" t="s">
        <v>438</v>
      </c>
      <c r="F3091" s="338"/>
      <c r="G3091" s="338">
        <v>6.8</v>
      </c>
      <c r="H3091" s="338" t="s">
        <v>425</v>
      </c>
      <c r="I3091" s="338" t="s">
        <v>411</v>
      </c>
      <c r="J3091" s="339"/>
      <c r="K3091" s="339"/>
      <c r="L3091" s="339" t="s">
        <v>409</v>
      </c>
      <c r="M3091" s="339" t="s">
        <v>409</v>
      </c>
      <c r="N3091" s="338" t="s">
        <v>417</v>
      </c>
      <c r="O3091" s="338" t="s">
        <v>409</v>
      </c>
      <c r="P3091" s="338" t="s">
        <v>417</v>
      </c>
    </row>
    <row r="3092" spans="2:16" x14ac:dyDescent="0.25">
      <c r="B3092" s="336" t="s">
        <v>416</v>
      </c>
      <c r="C3092" s="337">
        <v>39385</v>
      </c>
      <c r="D3092" s="338" t="s">
        <v>3834</v>
      </c>
      <c r="E3092" s="336" t="s">
        <v>3833</v>
      </c>
      <c r="F3092" s="338" t="s">
        <v>3832</v>
      </c>
      <c r="G3092" s="338" t="s">
        <v>413</v>
      </c>
      <c r="H3092" s="338" t="s">
        <v>425</v>
      </c>
      <c r="I3092" s="338" t="s">
        <v>411</v>
      </c>
      <c r="J3092" s="339"/>
      <c r="K3092" s="339"/>
      <c r="L3092" s="339"/>
      <c r="M3092" s="339"/>
      <c r="N3092" s="338"/>
      <c r="O3092" s="338" t="s">
        <v>410</v>
      </c>
      <c r="P3092" s="338" t="s">
        <v>417</v>
      </c>
    </row>
    <row r="3093" spans="2:16" x14ac:dyDescent="0.25">
      <c r="B3093" s="336" t="s">
        <v>416</v>
      </c>
      <c r="C3093" s="337">
        <v>39385</v>
      </c>
      <c r="D3093" s="338" t="s">
        <v>3831</v>
      </c>
      <c r="E3093" s="336" t="s">
        <v>3829</v>
      </c>
      <c r="F3093" s="338"/>
      <c r="G3093" s="338" t="s">
        <v>413</v>
      </c>
      <c r="H3093" s="338" t="s">
        <v>425</v>
      </c>
      <c r="I3093" s="338" t="s">
        <v>411</v>
      </c>
      <c r="J3093" s="339"/>
      <c r="K3093" s="339"/>
      <c r="L3093" s="339" t="s">
        <v>409</v>
      </c>
      <c r="M3093" s="339" t="s">
        <v>409</v>
      </c>
      <c r="N3093" s="338"/>
      <c r="O3093" s="338" t="s">
        <v>409</v>
      </c>
      <c r="P3093" s="338" t="s">
        <v>417</v>
      </c>
    </row>
    <row r="3094" spans="2:16" x14ac:dyDescent="0.25">
      <c r="B3094" s="336" t="s">
        <v>416</v>
      </c>
      <c r="C3094" s="337">
        <v>39385</v>
      </c>
      <c r="D3094" s="338" t="s">
        <v>3830</v>
      </c>
      <c r="E3094" s="336" t="s">
        <v>3829</v>
      </c>
      <c r="F3094" s="338"/>
      <c r="G3094" s="338" t="s">
        <v>413</v>
      </c>
      <c r="H3094" s="338" t="s">
        <v>412</v>
      </c>
      <c r="I3094" s="338" t="s">
        <v>411</v>
      </c>
      <c r="J3094" s="339"/>
      <c r="K3094" s="339"/>
      <c r="L3094" s="339" t="s">
        <v>409</v>
      </c>
      <c r="M3094" s="339" t="s">
        <v>409</v>
      </c>
      <c r="N3094" s="338" t="s">
        <v>417</v>
      </c>
      <c r="O3094" s="338" t="s">
        <v>409</v>
      </c>
      <c r="P3094" s="338" t="s">
        <v>417</v>
      </c>
    </row>
    <row r="3095" spans="2:16" x14ac:dyDescent="0.25">
      <c r="B3095" s="336" t="s">
        <v>416</v>
      </c>
      <c r="C3095" s="337">
        <v>39384</v>
      </c>
      <c r="D3095" s="338" t="s">
        <v>3828</v>
      </c>
      <c r="E3095" s="336" t="s">
        <v>561</v>
      </c>
      <c r="F3095" s="338" t="s">
        <v>1462</v>
      </c>
      <c r="G3095" s="338">
        <v>117</v>
      </c>
      <c r="H3095" s="338" t="s">
        <v>425</v>
      </c>
      <c r="I3095" s="338" t="s">
        <v>411</v>
      </c>
      <c r="J3095" s="339"/>
      <c r="K3095" s="339"/>
      <c r="L3095" s="339">
        <v>0.79197899999999999</v>
      </c>
      <c r="M3095" s="339">
        <v>9.8990399999999994</v>
      </c>
      <c r="N3095" s="338" t="s">
        <v>417</v>
      </c>
      <c r="O3095" s="338" t="s">
        <v>487</v>
      </c>
      <c r="P3095" s="338" t="s">
        <v>417</v>
      </c>
    </row>
    <row r="3096" spans="2:16" x14ac:dyDescent="0.25">
      <c r="B3096" s="336" t="s">
        <v>416</v>
      </c>
      <c r="C3096" s="337">
        <v>39381</v>
      </c>
      <c r="D3096" s="338" t="s">
        <v>3827</v>
      </c>
      <c r="E3096" s="336" t="s">
        <v>3826</v>
      </c>
      <c r="F3096" s="338"/>
      <c r="G3096" s="338" t="s">
        <v>413</v>
      </c>
      <c r="H3096" s="338" t="s">
        <v>425</v>
      </c>
      <c r="I3096" s="338" t="s">
        <v>411</v>
      </c>
      <c r="J3096" s="339"/>
      <c r="K3096" s="339"/>
      <c r="L3096" s="339" t="s">
        <v>409</v>
      </c>
      <c r="M3096" s="339" t="s">
        <v>409</v>
      </c>
      <c r="N3096" s="338" t="s">
        <v>417</v>
      </c>
      <c r="O3096" s="338" t="s">
        <v>409</v>
      </c>
      <c r="P3096" s="338"/>
    </row>
    <row r="3097" spans="2:16" x14ac:dyDescent="0.25">
      <c r="B3097" s="336" t="s">
        <v>459</v>
      </c>
      <c r="C3097" s="337">
        <v>39380</v>
      </c>
      <c r="D3097" s="338" t="s">
        <v>3825</v>
      </c>
      <c r="E3097" s="336" t="s">
        <v>3824</v>
      </c>
      <c r="F3097" s="338"/>
      <c r="G3097" s="338">
        <v>30</v>
      </c>
      <c r="H3097" s="338" t="s">
        <v>425</v>
      </c>
      <c r="I3097" s="338" t="s">
        <v>411</v>
      </c>
      <c r="J3097" s="339"/>
      <c r="K3097" s="339"/>
      <c r="L3097" s="339" t="s">
        <v>409</v>
      </c>
      <c r="M3097" s="339" t="s">
        <v>409</v>
      </c>
      <c r="N3097" s="338" t="s">
        <v>417</v>
      </c>
      <c r="O3097" s="338" t="s">
        <v>409</v>
      </c>
      <c r="P3097" s="338" t="s">
        <v>443</v>
      </c>
    </row>
    <row r="3098" spans="2:16" x14ac:dyDescent="0.25">
      <c r="B3098" s="336" t="s">
        <v>416</v>
      </c>
      <c r="C3098" s="337">
        <v>39380</v>
      </c>
      <c r="D3098" s="338" t="s">
        <v>3823</v>
      </c>
      <c r="E3098" s="336" t="s">
        <v>3822</v>
      </c>
      <c r="F3098" s="338"/>
      <c r="G3098" s="338">
        <v>1.8</v>
      </c>
      <c r="H3098" s="338" t="s">
        <v>429</v>
      </c>
      <c r="I3098" s="338" t="s">
        <v>411</v>
      </c>
      <c r="J3098" s="339"/>
      <c r="K3098" s="339"/>
      <c r="L3098" s="339" t="s">
        <v>409</v>
      </c>
      <c r="M3098" s="339" t="s">
        <v>409</v>
      </c>
      <c r="N3098" s="338" t="s">
        <v>417</v>
      </c>
      <c r="O3098" s="338" t="s">
        <v>409</v>
      </c>
      <c r="P3098" s="338" t="s">
        <v>410</v>
      </c>
    </row>
    <row r="3099" spans="2:16" x14ac:dyDescent="0.25">
      <c r="B3099" s="336" t="s">
        <v>416</v>
      </c>
      <c r="C3099" s="337">
        <v>39378</v>
      </c>
      <c r="D3099" s="338" t="s">
        <v>3821</v>
      </c>
      <c r="E3099" s="336" t="s">
        <v>3820</v>
      </c>
      <c r="F3099" s="338" t="s">
        <v>3793</v>
      </c>
      <c r="G3099" s="338" t="s">
        <v>413</v>
      </c>
      <c r="H3099" s="338" t="s">
        <v>412</v>
      </c>
      <c r="I3099" s="338" t="s">
        <v>411</v>
      </c>
      <c r="J3099" s="339"/>
      <c r="K3099" s="339"/>
      <c r="L3099" s="339">
        <v>0.19824700000000001</v>
      </c>
      <c r="M3099" s="339"/>
      <c r="N3099" s="338" t="s">
        <v>417</v>
      </c>
      <c r="O3099" s="338" t="s">
        <v>417</v>
      </c>
      <c r="P3099" s="338" t="s">
        <v>417</v>
      </c>
    </row>
    <row r="3100" spans="2:16" x14ac:dyDescent="0.25">
      <c r="B3100" s="336" t="s">
        <v>416</v>
      </c>
      <c r="C3100" s="337">
        <v>39378</v>
      </c>
      <c r="D3100" s="338" t="s">
        <v>3819</v>
      </c>
      <c r="E3100" s="336" t="s">
        <v>1853</v>
      </c>
      <c r="F3100" s="338"/>
      <c r="G3100" s="338" t="s">
        <v>413</v>
      </c>
      <c r="H3100" s="338" t="s">
        <v>412</v>
      </c>
      <c r="I3100" s="338" t="s">
        <v>411</v>
      </c>
      <c r="J3100" s="339"/>
      <c r="K3100" s="339"/>
      <c r="L3100" s="339" t="s">
        <v>409</v>
      </c>
      <c r="M3100" s="339" t="s">
        <v>409</v>
      </c>
      <c r="N3100" s="338" t="s">
        <v>417</v>
      </c>
      <c r="O3100" s="338" t="s">
        <v>409</v>
      </c>
      <c r="P3100" s="338" t="s">
        <v>417</v>
      </c>
    </row>
    <row r="3101" spans="2:16" x14ac:dyDescent="0.25">
      <c r="B3101" s="336" t="s">
        <v>416</v>
      </c>
      <c r="C3101" s="337">
        <v>39378</v>
      </c>
      <c r="D3101" s="338" t="s">
        <v>3818</v>
      </c>
      <c r="E3101" s="336" t="s">
        <v>514</v>
      </c>
      <c r="F3101" s="338"/>
      <c r="G3101" s="338" t="s">
        <v>413</v>
      </c>
      <c r="H3101" s="338" t="s">
        <v>412</v>
      </c>
      <c r="I3101" s="338" t="s">
        <v>411</v>
      </c>
      <c r="J3101" s="339"/>
      <c r="K3101" s="339"/>
      <c r="L3101" s="339" t="s">
        <v>409</v>
      </c>
      <c r="M3101" s="339" t="s">
        <v>409</v>
      </c>
      <c r="N3101" s="338" t="s">
        <v>417</v>
      </c>
      <c r="O3101" s="338" t="s">
        <v>409</v>
      </c>
      <c r="P3101" s="338"/>
    </row>
    <row r="3102" spans="2:16" x14ac:dyDescent="0.25">
      <c r="B3102" s="336" t="s">
        <v>416</v>
      </c>
      <c r="C3102" s="337">
        <v>39377</v>
      </c>
      <c r="D3102" s="338" t="s">
        <v>3817</v>
      </c>
      <c r="E3102" s="336" t="s">
        <v>1482</v>
      </c>
      <c r="F3102" s="338"/>
      <c r="G3102" s="338" t="s">
        <v>413</v>
      </c>
      <c r="H3102" s="338" t="s">
        <v>412</v>
      </c>
      <c r="I3102" s="338" t="s">
        <v>411</v>
      </c>
      <c r="J3102" s="339"/>
      <c r="K3102" s="339"/>
      <c r="L3102" s="339" t="s">
        <v>409</v>
      </c>
      <c r="M3102" s="339" t="s">
        <v>409</v>
      </c>
      <c r="N3102" s="338" t="s">
        <v>417</v>
      </c>
      <c r="O3102" s="338" t="s">
        <v>409</v>
      </c>
      <c r="P3102" s="338" t="s">
        <v>417</v>
      </c>
    </row>
    <row r="3103" spans="2:16" x14ac:dyDescent="0.25">
      <c r="B3103" s="336" t="s">
        <v>416</v>
      </c>
      <c r="C3103" s="337">
        <v>39377</v>
      </c>
      <c r="D3103" s="338" t="s">
        <v>3816</v>
      </c>
      <c r="E3103" s="336" t="s">
        <v>1119</v>
      </c>
      <c r="F3103" s="338" t="s">
        <v>3815</v>
      </c>
      <c r="G3103" s="338" t="s">
        <v>413</v>
      </c>
      <c r="H3103" s="338" t="s">
        <v>425</v>
      </c>
      <c r="I3103" s="338" t="s">
        <v>411</v>
      </c>
      <c r="J3103" s="339"/>
      <c r="K3103" s="339"/>
      <c r="L3103" s="339"/>
      <c r="M3103" s="339"/>
      <c r="N3103" s="338"/>
      <c r="O3103" s="338" t="s">
        <v>443</v>
      </c>
      <c r="P3103" s="338" t="s">
        <v>417</v>
      </c>
    </row>
    <row r="3104" spans="2:16" x14ac:dyDescent="0.25">
      <c r="B3104" s="336" t="s">
        <v>416</v>
      </c>
      <c r="C3104" s="337">
        <v>39377</v>
      </c>
      <c r="D3104" s="338" t="s">
        <v>552</v>
      </c>
      <c r="E3104" s="336" t="s">
        <v>2290</v>
      </c>
      <c r="F3104" s="338" t="s">
        <v>3814</v>
      </c>
      <c r="G3104" s="338" t="s">
        <v>413</v>
      </c>
      <c r="H3104" s="338" t="s">
        <v>425</v>
      </c>
      <c r="I3104" s="338" t="s">
        <v>411</v>
      </c>
      <c r="J3104" s="339"/>
      <c r="K3104" s="339"/>
      <c r="L3104" s="339"/>
      <c r="M3104" s="339"/>
      <c r="N3104" s="338"/>
      <c r="O3104" s="338" t="s">
        <v>410</v>
      </c>
      <c r="P3104" s="338" t="s">
        <v>417</v>
      </c>
    </row>
    <row r="3105" spans="2:16" x14ac:dyDescent="0.25">
      <c r="B3105" s="336" t="s">
        <v>416</v>
      </c>
      <c r="C3105" s="337">
        <v>39374</v>
      </c>
      <c r="D3105" s="338" t="s">
        <v>3813</v>
      </c>
      <c r="E3105" s="336" t="s">
        <v>2415</v>
      </c>
      <c r="F3105" s="338" t="s">
        <v>3812</v>
      </c>
      <c r="G3105" s="338" t="s">
        <v>413</v>
      </c>
      <c r="H3105" s="338" t="s">
        <v>336</v>
      </c>
      <c r="I3105" s="338" t="s">
        <v>411</v>
      </c>
      <c r="J3105" s="339"/>
      <c r="K3105" s="339"/>
      <c r="L3105" s="339">
        <v>0.48511500000000002</v>
      </c>
      <c r="M3105" s="339"/>
      <c r="N3105" s="338" t="s">
        <v>417</v>
      </c>
      <c r="O3105" s="338" t="s">
        <v>487</v>
      </c>
      <c r="P3105" s="338" t="s">
        <v>543</v>
      </c>
    </row>
    <row r="3106" spans="2:16" x14ac:dyDescent="0.25">
      <c r="B3106" s="336" t="s">
        <v>416</v>
      </c>
      <c r="C3106" s="337">
        <v>39374</v>
      </c>
      <c r="D3106" s="338" t="s">
        <v>3811</v>
      </c>
      <c r="E3106" s="336" t="s">
        <v>1951</v>
      </c>
      <c r="F3106" s="338"/>
      <c r="G3106" s="338" t="s">
        <v>413</v>
      </c>
      <c r="H3106" s="338" t="s">
        <v>412</v>
      </c>
      <c r="I3106" s="338" t="s">
        <v>411</v>
      </c>
      <c r="J3106" s="339"/>
      <c r="K3106" s="339"/>
      <c r="L3106" s="339" t="s">
        <v>409</v>
      </c>
      <c r="M3106" s="339" t="s">
        <v>409</v>
      </c>
      <c r="N3106" s="338"/>
      <c r="O3106" s="338" t="s">
        <v>409</v>
      </c>
      <c r="P3106" s="338" t="s">
        <v>417</v>
      </c>
    </row>
    <row r="3107" spans="2:16" x14ac:dyDescent="0.25">
      <c r="B3107" s="336" t="s">
        <v>416</v>
      </c>
      <c r="C3107" s="337">
        <v>39374</v>
      </c>
      <c r="D3107" s="338" t="s">
        <v>3810</v>
      </c>
      <c r="E3107" s="336" t="s">
        <v>3074</v>
      </c>
      <c r="F3107" s="338"/>
      <c r="G3107" s="338" t="s">
        <v>413</v>
      </c>
      <c r="H3107" s="338" t="s">
        <v>412</v>
      </c>
      <c r="I3107" s="338" t="s">
        <v>411</v>
      </c>
      <c r="J3107" s="339"/>
      <c r="K3107" s="339"/>
      <c r="L3107" s="339" t="s">
        <v>409</v>
      </c>
      <c r="M3107" s="339" t="s">
        <v>409</v>
      </c>
      <c r="N3107" s="338" t="s">
        <v>417</v>
      </c>
      <c r="O3107" s="338" t="s">
        <v>409</v>
      </c>
      <c r="P3107" s="338" t="s">
        <v>417</v>
      </c>
    </row>
    <row r="3108" spans="2:16" x14ac:dyDescent="0.25">
      <c r="B3108" s="336" t="s">
        <v>416</v>
      </c>
      <c r="C3108" s="337">
        <v>39373</v>
      </c>
      <c r="D3108" s="338" t="s">
        <v>3809</v>
      </c>
      <c r="E3108" s="336" t="s">
        <v>479</v>
      </c>
      <c r="F3108" s="338"/>
      <c r="G3108" s="338" t="s">
        <v>413</v>
      </c>
      <c r="H3108" s="338" t="s">
        <v>425</v>
      </c>
      <c r="I3108" s="338" t="s">
        <v>411</v>
      </c>
      <c r="J3108" s="339"/>
      <c r="K3108" s="339"/>
      <c r="L3108" s="339" t="s">
        <v>409</v>
      </c>
      <c r="M3108" s="339" t="s">
        <v>409</v>
      </c>
      <c r="N3108" s="338" t="s">
        <v>417</v>
      </c>
      <c r="O3108" s="338" t="s">
        <v>409</v>
      </c>
      <c r="P3108" s="338" t="s">
        <v>443</v>
      </c>
    </row>
    <row r="3109" spans="2:16" x14ac:dyDescent="0.25">
      <c r="B3109" s="336" t="s">
        <v>416</v>
      </c>
      <c r="C3109" s="337">
        <v>39373</v>
      </c>
      <c r="D3109" s="338" t="s">
        <v>692</v>
      </c>
      <c r="E3109" s="336" t="s">
        <v>485</v>
      </c>
      <c r="F3109" s="338"/>
      <c r="G3109" s="338">
        <v>25</v>
      </c>
      <c r="H3109" s="338" t="s">
        <v>425</v>
      </c>
      <c r="I3109" s="338" t="s">
        <v>411</v>
      </c>
      <c r="J3109" s="339"/>
      <c r="K3109" s="339"/>
      <c r="L3109" s="339" t="s">
        <v>409</v>
      </c>
      <c r="M3109" s="339" t="s">
        <v>409</v>
      </c>
      <c r="N3109" s="338"/>
      <c r="O3109" s="338" t="s">
        <v>409</v>
      </c>
      <c r="P3109" s="338" t="s">
        <v>417</v>
      </c>
    </row>
    <row r="3110" spans="2:16" x14ac:dyDescent="0.25">
      <c r="B3110" s="336" t="s">
        <v>416</v>
      </c>
      <c r="C3110" s="337">
        <v>39372</v>
      </c>
      <c r="D3110" s="338" t="s">
        <v>3808</v>
      </c>
      <c r="E3110" s="336" t="s">
        <v>475</v>
      </c>
      <c r="F3110" s="338"/>
      <c r="G3110" s="338" t="s">
        <v>413</v>
      </c>
      <c r="H3110" s="338" t="s">
        <v>425</v>
      </c>
      <c r="I3110" s="338" t="s">
        <v>411</v>
      </c>
      <c r="J3110" s="339"/>
      <c r="K3110" s="339"/>
      <c r="L3110" s="339" t="s">
        <v>409</v>
      </c>
      <c r="M3110" s="339" t="s">
        <v>409</v>
      </c>
      <c r="N3110" s="338" t="s">
        <v>417</v>
      </c>
      <c r="O3110" s="338" t="s">
        <v>409</v>
      </c>
      <c r="P3110" s="338" t="s">
        <v>417</v>
      </c>
    </row>
    <row r="3111" spans="2:16" x14ac:dyDescent="0.25">
      <c r="B3111" s="336" t="s">
        <v>416</v>
      </c>
      <c r="C3111" s="337">
        <v>39372</v>
      </c>
      <c r="D3111" s="338" t="s">
        <v>3807</v>
      </c>
      <c r="E3111" s="336" t="s">
        <v>485</v>
      </c>
      <c r="F3111" s="338"/>
      <c r="G3111" s="338">
        <v>6.18</v>
      </c>
      <c r="H3111" s="338" t="s">
        <v>429</v>
      </c>
      <c r="I3111" s="338" t="s">
        <v>411</v>
      </c>
      <c r="J3111" s="339"/>
      <c r="K3111" s="339"/>
      <c r="L3111" s="339" t="s">
        <v>409</v>
      </c>
      <c r="M3111" s="339" t="s">
        <v>409</v>
      </c>
      <c r="N3111" s="338" t="s">
        <v>417</v>
      </c>
      <c r="O3111" s="338" t="s">
        <v>409</v>
      </c>
      <c r="P3111" s="338" t="s">
        <v>417</v>
      </c>
    </row>
    <row r="3112" spans="2:16" x14ac:dyDescent="0.25">
      <c r="B3112" s="336" t="s">
        <v>416</v>
      </c>
      <c r="C3112" s="337">
        <v>39372</v>
      </c>
      <c r="D3112" s="338" t="s">
        <v>3806</v>
      </c>
      <c r="E3112" s="336" t="s">
        <v>3805</v>
      </c>
      <c r="F3112" s="338"/>
      <c r="G3112" s="338" t="s">
        <v>413</v>
      </c>
      <c r="H3112" s="338" t="s">
        <v>429</v>
      </c>
      <c r="I3112" s="338" t="s">
        <v>411</v>
      </c>
      <c r="J3112" s="339"/>
      <c r="K3112" s="339"/>
      <c r="L3112" s="339" t="s">
        <v>409</v>
      </c>
      <c r="M3112" s="339" t="s">
        <v>409</v>
      </c>
      <c r="N3112" s="338" t="s">
        <v>417</v>
      </c>
      <c r="O3112" s="338" t="s">
        <v>409</v>
      </c>
      <c r="P3112" s="338" t="s">
        <v>432</v>
      </c>
    </row>
    <row r="3113" spans="2:16" x14ac:dyDescent="0.25">
      <c r="B3113" s="336" t="s">
        <v>459</v>
      </c>
      <c r="C3113" s="337">
        <v>39371</v>
      </c>
      <c r="D3113" s="338" t="s">
        <v>3804</v>
      </c>
      <c r="E3113" s="336" t="s">
        <v>3803</v>
      </c>
      <c r="F3113" s="338"/>
      <c r="G3113" s="338">
        <v>27.5</v>
      </c>
      <c r="H3113" s="338" t="s">
        <v>425</v>
      </c>
      <c r="I3113" s="338" t="s">
        <v>411</v>
      </c>
      <c r="J3113" s="339"/>
      <c r="K3113" s="339"/>
      <c r="L3113" s="339" t="s">
        <v>409</v>
      </c>
      <c r="M3113" s="339" t="s">
        <v>409</v>
      </c>
      <c r="N3113" s="338" t="s">
        <v>417</v>
      </c>
      <c r="O3113" s="338" t="s">
        <v>409</v>
      </c>
      <c r="P3113" s="338" t="s">
        <v>443</v>
      </c>
    </row>
    <row r="3114" spans="2:16" x14ac:dyDescent="0.25">
      <c r="B3114" s="336" t="s">
        <v>416</v>
      </c>
      <c r="C3114" s="337">
        <v>39371</v>
      </c>
      <c r="D3114" s="338" t="s">
        <v>3802</v>
      </c>
      <c r="E3114" s="336" t="s">
        <v>2669</v>
      </c>
      <c r="F3114" s="338"/>
      <c r="G3114" s="338" t="s">
        <v>413</v>
      </c>
      <c r="H3114" s="338" t="s">
        <v>412</v>
      </c>
      <c r="I3114" s="338" t="s">
        <v>411</v>
      </c>
      <c r="J3114" s="339"/>
      <c r="K3114" s="339"/>
      <c r="L3114" s="339" t="s">
        <v>409</v>
      </c>
      <c r="M3114" s="339" t="s">
        <v>409</v>
      </c>
      <c r="N3114" s="338" t="s">
        <v>417</v>
      </c>
      <c r="O3114" s="338" t="s">
        <v>409</v>
      </c>
      <c r="P3114" s="338" t="s">
        <v>417</v>
      </c>
    </row>
    <row r="3115" spans="2:16" x14ac:dyDescent="0.25">
      <c r="B3115" s="336" t="s">
        <v>416</v>
      </c>
      <c r="C3115" s="337">
        <v>39370</v>
      </c>
      <c r="D3115" s="338" t="s">
        <v>3801</v>
      </c>
      <c r="E3115" s="336" t="s">
        <v>3800</v>
      </c>
      <c r="F3115" s="338" t="s">
        <v>3799</v>
      </c>
      <c r="G3115" s="338" t="s">
        <v>413</v>
      </c>
      <c r="H3115" s="338" t="s">
        <v>425</v>
      </c>
      <c r="I3115" s="338" t="s">
        <v>411</v>
      </c>
      <c r="J3115" s="339"/>
      <c r="K3115" s="339"/>
      <c r="L3115" s="339"/>
      <c r="M3115" s="339"/>
      <c r="N3115" s="338" t="s">
        <v>417</v>
      </c>
      <c r="O3115" s="338" t="s">
        <v>417</v>
      </c>
      <c r="P3115" s="338"/>
    </row>
    <row r="3116" spans="2:16" x14ac:dyDescent="0.25">
      <c r="B3116" s="336" t="s">
        <v>416</v>
      </c>
      <c r="C3116" s="337">
        <v>39370</v>
      </c>
      <c r="D3116" s="338" t="s">
        <v>3798</v>
      </c>
      <c r="E3116" s="336" t="s">
        <v>3797</v>
      </c>
      <c r="F3116" s="338"/>
      <c r="G3116" s="338" t="s">
        <v>413</v>
      </c>
      <c r="H3116" s="338" t="s">
        <v>425</v>
      </c>
      <c r="I3116" s="338" t="s">
        <v>411</v>
      </c>
      <c r="J3116" s="339"/>
      <c r="K3116" s="339"/>
      <c r="L3116" s="339" t="s">
        <v>409</v>
      </c>
      <c r="M3116" s="339" t="s">
        <v>409</v>
      </c>
      <c r="N3116" s="338"/>
      <c r="O3116" s="338" t="s">
        <v>409</v>
      </c>
      <c r="P3116" s="338" t="s">
        <v>417</v>
      </c>
    </row>
    <row r="3117" spans="2:16" x14ac:dyDescent="0.25">
      <c r="B3117" s="336" t="s">
        <v>416</v>
      </c>
      <c r="C3117" s="337">
        <v>39367</v>
      </c>
      <c r="D3117" s="338" t="s">
        <v>3796</v>
      </c>
      <c r="E3117" s="336" t="s">
        <v>523</v>
      </c>
      <c r="F3117" s="338"/>
      <c r="G3117" s="338" t="s">
        <v>413</v>
      </c>
      <c r="H3117" s="338" t="s">
        <v>425</v>
      </c>
      <c r="I3117" s="338" t="s">
        <v>411</v>
      </c>
      <c r="J3117" s="339"/>
      <c r="K3117" s="339"/>
      <c r="L3117" s="339" t="s">
        <v>409</v>
      </c>
      <c r="M3117" s="339" t="s">
        <v>409</v>
      </c>
      <c r="N3117" s="338"/>
      <c r="O3117" s="338" t="s">
        <v>409</v>
      </c>
      <c r="P3117" s="338" t="s">
        <v>417</v>
      </c>
    </row>
    <row r="3118" spans="2:16" x14ac:dyDescent="0.25">
      <c r="B3118" s="336" t="s">
        <v>416</v>
      </c>
      <c r="C3118" s="337">
        <v>39367</v>
      </c>
      <c r="D3118" s="338" t="s">
        <v>3795</v>
      </c>
      <c r="E3118" s="336" t="s">
        <v>3794</v>
      </c>
      <c r="F3118" s="338"/>
      <c r="G3118" s="338">
        <v>9.3000000000000007</v>
      </c>
      <c r="H3118" s="338" t="s">
        <v>425</v>
      </c>
      <c r="I3118" s="338" t="s">
        <v>411</v>
      </c>
      <c r="J3118" s="339"/>
      <c r="K3118" s="339"/>
      <c r="L3118" s="339" t="s">
        <v>409</v>
      </c>
      <c r="M3118" s="339" t="s">
        <v>409</v>
      </c>
      <c r="N3118" s="338" t="s">
        <v>605</v>
      </c>
      <c r="O3118" s="338" t="s">
        <v>409</v>
      </c>
      <c r="P3118" s="338" t="s">
        <v>417</v>
      </c>
    </row>
    <row r="3119" spans="2:16" x14ac:dyDescent="0.25">
      <c r="B3119" s="336" t="s">
        <v>416</v>
      </c>
      <c r="C3119" s="337">
        <v>39367</v>
      </c>
      <c r="D3119" s="338" t="s">
        <v>3793</v>
      </c>
      <c r="E3119" s="336" t="s">
        <v>3792</v>
      </c>
      <c r="F3119" s="338"/>
      <c r="G3119" s="338">
        <v>37.86</v>
      </c>
      <c r="H3119" s="338" t="s">
        <v>412</v>
      </c>
      <c r="I3119" s="338" t="s">
        <v>411</v>
      </c>
      <c r="J3119" s="339">
        <v>0.19824700000000001</v>
      </c>
      <c r="K3119" s="339"/>
      <c r="L3119" s="339" t="s">
        <v>409</v>
      </c>
      <c r="M3119" s="339" t="s">
        <v>409</v>
      </c>
      <c r="N3119" s="338" t="s">
        <v>417</v>
      </c>
      <c r="O3119" s="338" t="s">
        <v>409</v>
      </c>
      <c r="P3119" s="338"/>
    </row>
    <row r="3120" spans="2:16" x14ac:dyDescent="0.25">
      <c r="B3120" s="336" t="s">
        <v>416</v>
      </c>
      <c r="C3120" s="337">
        <v>39365</v>
      </c>
      <c r="D3120" s="338" t="s">
        <v>3791</v>
      </c>
      <c r="E3120" s="336" t="s">
        <v>3790</v>
      </c>
      <c r="F3120" s="338"/>
      <c r="G3120" s="338" t="s">
        <v>413</v>
      </c>
      <c r="H3120" s="338" t="s">
        <v>412</v>
      </c>
      <c r="I3120" s="338" t="s">
        <v>411</v>
      </c>
      <c r="J3120" s="339"/>
      <c r="K3120" s="339"/>
      <c r="L3120" s="339" t="s">
        <v>409</v>
      </c>
      <c r="M3120" s="339" t="s">
        <v>409</v>
      </c>
      <c r="N3120" s="338" t="s">
        <v>417</v>
      </c>
      <c r="O3120" s="338" t="s">
        <v>409</v>
      </c>
      <c r="P3120" s="338" t="s">
        <v>417</v>
      </c>
    </row>
    <row r="3121" spans="2:16" x14ac:dyDescent="0.25">
      <c r="B3121" s="336" t="s">
        <v>416</v>
      </c>
      <c r="C3121" s="337">
        <v>39365</v>
      </c>
      <c r="D3121" s="338" t="s">
        <v>3789</v>
      </c>
      <c r="E3121" s="336" t="s">
        <v>3381</v>
      </c>
      <c r="F3121" s="338"/>
      <c r="G3121" s="338" t="s">
        <v>413</v>
      </c>
      <c r="H3121" s="338" t="s">
        <v>425</v>
      </c>
      <c r="I3121" s="338" t="s">
        <v>411</v>
      </c>
      <c r="J3121" s="339"/>
      <c r="K3121" s="339"/>
      <c r="L3121" s="339" t="s">
        <v>409</v>
      </c>
      <c r="M3121" s="339" t="s">
        <v>409</v>
      </c>
      <c r="N3121" s="338" t="s">
        <v>417</v>
      </c>
      <c r="O3121" s="338" t="s">
        <v>409</v>
      </c>
      <c r="P3121" s="338" t="s">
        <v>417</v>
      </c>
    </row>
    <row r="3122" spans="2:16" x14ac:dyDescent="0.25">
      <c r="B3122" s="336" t="s">
        <v>416</v>
      </c>
      <c r="C3122" s="337">
        <v>39364</v>
      </c>
      <c r="D3122" s="338" t="s">
        <v>3788</v>
      </c>
      <c r="E3122" s="336" t="s">
        <v>3787</v>
      </c>
      <c r="F3122" s="338"/>
      <c r="G3122" s="338" t="s">
        <v>413</v>
      </c>
      <c r="H3122" s="338" t="s">
        <v>412</v>
      </c>
      <c r="I3122" s="338" t="s">
        <v>411</v>
      </c>
      <c r="J3122" s="339"/>
      <c r="K3122" s="339"/>
      <c r="L3122" s="339" t="s">
        <v>409</v>
      </c>
      <c r="M3122" s="339" t="s">
        <v>409</v>
      </c>
      <c r="N3122" s="338" t="s">
        <v>417</v>
      </c>
      <c r="O3122" s="338" t="s">
        <v>409</v>
      </c>
      <c r="P3122" s="338" t="s">
        <v>432</v>
      </c>
    </row>
    <row r="3123" spans="2:16" x14ac:dyDescent="0.25">
      <c r="B3123" s="336" t="s">
        <v>416</v>
      </c>
      <c r="C3123" s="337">
        <v>39364</v>
      </c>
      <c r="D3123" s="338" t="s">
        <v>3786</v>
      </c>
      <c r="E3123" s="336" t="s">
        <v>3785</v>
      </c>
      <c r="F3123" s="338"/>
      <c r="G3123" s="338" t="s">
        <v>413</v>
      </c>
      <c r="H3123" s="338" t="s">
        <v>412</v>
      </c>
      <c r="I3123" s="338" t="s">
        <v>411</v>
      </c>
      <c r="J3123" s="339"/>
      <c r="K3123" s="339"/>
      <c r="L3123" s="339" t="s">
        <v>409</v>
      </c>
      <c r="M3123" s="339" t="s">
        <v>409</v>
      </c>
      <c r="N3123" s="338" t="s">
        <v>417</v>
      </c>
      <c r="O3123" s="338" t="s">
        <v>409</v>
      </c>
      <c r="P3123" s="338"/>
    </row>
    <row r="3124" spans="2:16" x14ac:dyDescent="0.25">
      <c r="B3124" s="336" t="s">
        <v>416</v>
      </c>
      <c r="C3124" s="337">
        <v>39363</v>
      </c>
      <c r="D3124" s="338" t="s">
        <v>3784</v>
      </c>
      <c r="E3124" s="336" t="s">
        <v>656</v>
      </c>
      <c r="F3124" s="338"/>
      <c r="G3124" s="338" t="s">
        <v>413</v>
      </c>
      <c r="H3124" s="338" t="s">
        <v>412</v>
      </c>
      <c r="I3124" s="338" t="s">
        <v>411</v>
      </c>
      <c r="J3124" s="339"/>
      <c r="K3124" s="339"/>
      <c r="L3124" s="339" t="s">
        <v>409</v>
      </c>
      <c r="M3124" s="339" t="s">
        <v>409</v>
      </c>
      <c r="N3124" s="338" t="s">
        <v>885</v>
      </c>
      <c r="O3124" s="338" t="s">
        <v>409</v>
      </c>
      <c r="P3124" s="338" t="s">
        <v>408</v>
      </c>
    </row>
    <row r="3125" spans="2:16" x14ac:dyDescent="0.25">
      <c r="B3125" s="336" t="s">
        <v>416</v>
      </c>
      <c r="C3125" s="337">
        <v>39363</v>
      </c>
      <c r="D3125" s="338" t="s">
        <v>3783</v>
      </c>
      <c r="E3125" s="336" t="s">
        <v>3782</v>
      </c>
      <c r="F3125" s="338"/>
      <c r="G3125" s="338" t="s">
        <v>413</v>
      </c>
      <c r="H3125" s="338" t="s">
        <v>412</v>
      </c>
      <c r="I3125" s="338" t="s">
        <v>411</v>
      </c>
      <c r="J3125" s="339"/>
      <c r="K3125" s="339"/>
      <c r="L3125" s="339" t="s">
        <v>409</v>
      </c>
      <c r="M3125" s="339" t="s">
        <v>409</v>
      </c>
      <c r="N3125" s="338" t="s">
        <v>417</v>
      </c>
      <c r="O3125" s="338" t="s">
        <v>409</v>
      </c>
      <c r="P3125" s="338" t="s">
        <v>417</v>
      </c>
    </row>
    <row r="3126" spans="2:16" x14ac:dyDescent="0.25">
      <c r="B3126" s="336" t="s">
        <v>416</v>
      </c>
      <c r="C3126" s="337">
        <v>39363</v>
      </c>
      <c r="D3126" s="338" t="s">
        <v>3781</v>
      </c>
      <c r="E3126" s="336" t="s">
        <v>3780</v>
      </c>
      <c r="F3126" s="338"/>
      <c r="G3126" s="338" t="s">
        <v>413</v>
      </c>
      <c r="H3126" s="338" t="s">
        <v>412</v>
      </c>
      <c r="I3126" s="338" t="s">
        <v>411</v>
      </c>
      <c r="J3126" s="339"/>
      <c r="K3126" s="339"/>
      <c r="L3126" s="339" t="s">
        <v>409</v>
      </c>
      <c r="M3126" s="339" t="s">
        <v>409</v>
      </c>
      <c r="N3126" s="338" t="s">
        <v>417</v>
      </c>
      <c r="O3126" s="338" t="s">
        <v>409</v>
      </c>
      <c r="P3126" s="338" t="s">
        <v>417</v>
      </c>
    </row>
    <row r="3127" spans="2:16" x14ac:dyDescent="0.25">
      <c r="B3127" s="336" t="s">
        <v>416</v>
      </c>
      <c r="C3127" s="337">
        <v>39360</v>
      </c>
      <c r="D3127" s="338" t="s">
        <v>1480</v>
      </c>
      <c r="E3127" s="336" t="s">
        <v>3779</v>
      </c>
      <c r="F3127" s="338" t="s">
        <v>3778</v>
      </c>
      <c r="G3127" s="338" t="s">
        <v>413</v>
      </c>
      <c r="H3127" s="338" t="s">
        <v>412</v>
      </c>
      <c r="I3127" s="338" t="s">
        <v>411</v>
      </c>
      <c r="J3127" s="339"/>
      <c r="K3127" s="339"/>
      <c r="L3127" s="339"/>
      <c r="M3127" s="339"/>
      <c r="N3127" s="338" t="s">
        <v>543</v>
      </c>
      <c r="O3127" s="338" t="s">
        <v>443</v>
      </c>
      <c r="P3127" s="338" t="s">
        <v>417</v>
      </c>
    </row>
    <row r="3128" spans="2:16" x14ac:dyDescent="0.25">
      <c r="B3128" s="336" t="s">
        <v>416</v>
      </c>
      <c r="C3128" s="337">
        <v>39360</v>
      </c>
      <c r="D3128" s="338" t="s">
        <v>3777</v>
      </c>
      <c r="E3128" s="336" t="s">
        <v>3776</v>
      </c>
      <c r="F3128" s="338"/>
      <c r="G3128" s="338">
        <v>4.9800000000000004</v>
      </c>
      <c r="H3128" s="338" t="s">
        <v>429</v>
      </c>
      <c r="I3128" s="338" t="s">
        <v>411</v>
      </c>
      <c r="J3128" s="339"/>
      <c r="K3128" s="339"/>
      <c r="L3128" s="339" t="s">
        <v>409</v>
      </c>
      <c r="M3128" s="339" t="s">
        <v>409</v>
      </c>
      <c r="N3128" s="338" t="s">
        <v>417</v>
      </c>
      <c r="O3128" s="338" t="s">
        <v>409</v>
      </c>
      <c r="P3128" s="338" t="s">
        <v>417</v>
      </c>
    </row>
    <row r="3129" spans="2:16" x14ac:dyDescent="0.25">
      <c r="B3129" s="336" t="s">
        <v>416</v>
      </c>
      <c r="C3129" s="337">
        <v>39359</v>
      </c>
      <c r="D3129" s="338" t="s">
        <v>3775</v>
      </c>
      <c r="E3129" s="336" t="s">
        <v>3774</v>
      </c>
      <c r="F3129" s="338" t="s">
        <v>3773</v>
      </c>
      <c r="G3129" s="338">
        <v>247.17</v>
      </c>
      <c r="H3129" s="338" t="s">
        <v>412</v>
      </c>
      <c r="I3129" s="338" t="s">
        <v>411</v>
      </c>
      <c r="J3129" s="339">
        <v>0.70271799999999995</v>
      </c>
      <c r="K3129" s="339">
        <v>7.91655</v>
      </c>
      <c r="L3129" s="339">
        <v>2.3029299999999999</v>
      </c>
      <c r="M3129" s="339"/>
      <c r="N3129" s="338" t="s">
        <v>417</v>
      </c>
      <c r="O3129" s="338" t="s">
        <v>443</v>
      </c>
      <c r="P3129" s="338" t="s">
        <v>417</v>
      </c>
    </row>
    <row r="3130" spans="2:16" x14ac:dyDescent="0.25">
      <c r="B3130" s="336" t="s">
        <v>416</v>
      </c>
      <c r="C3130" s="337">
        <v>39358</v>
      </c>
      <c r="D3130" s="338" t="s">
        <v>3772</v>
      </c>
      <c r="E3130" s="336" t="s">
        <v>3771</v>
      </c>
      <c r="F3130" s="338" t="s">
        <v>3770</v>
      </c>
      <c r="G3130" s="338" t="s">
        <v>413</v>
      </c>
      <c r="H3130" s="338" t="s">
        <v>425</v>
      </c>
      <c r="I3130" s="338" t="s">
        <v>411</v>
      </c>
      <c r="J3130" s="339"/>
      <c r="K3130" s="339"/>
      <c r="L3130" s="339"/>
      <c r="M3130" s="339"/>
      <c r="N3130" s="338" t="s">
        <v>417</v>
      </c>
      <c r="O3130" s="338" t="s">
        <v>443</v>
      </c>
      <c r="P3130" s="338" t="s">
        <v>410</v>
      </c>
    </row>
    <row r="3131" spans="2:16" x14ac:dyDescent="0.25">
      <c r="B3131" s="336" t="s">
        <v>416</v>
      </c>
      <c r="C3131" s="337">
        <v>39358</v>
      </c>
      <c r="D3131" s="338" t="s">
        <v>3769</v>
      </c>
      <c r="E3131" s="336" t="s">
        <v>3768</v>
      </c>
      <c r="F3131" s="338" t="s">
        <v>3767</v>
      </c>
      <c r="G3131" s="338" t="s">
        <v>413</v>
      </c>
      <c r="H3131" s="338" t="s">
        <v>412</v>
      </c>
      <c r="I3131" s="338" t="s">
        <v>411</v>
      </c>
      <c r="J3131" s="339"/>
      <c r="K3131" s="339"/>
      <c r="L3131" s="339">
        <v>1.16527</v>
      </c>
      <c r="M3131" s="339">
        <v>9.0763499999999997</v>
      </c>
      <c r="N3131" s="338" t="s">
        <v>417</v>
      </c>
      <c r="O3131" s="338" t="s">
        <v>432</v>
      </c>
      <c r="P3131" s="338" t="s">
        <v>605</v>
      </c>
    </row>
    <row r="3132" spans="2:16" x14ac:dyDescent="0.25">
      <c r="B3132" s="336" t="s">
        <v>416</v>
      </c>
      <c r="C3132" s="337">
        <v>39358</v>
      </c>
      <c r="D3132" s="338" t="s">
        <v>3766</v>
      </c>
      <c r="E3132" s="336" t="s">
        <v>669</v>
      </c>
      <c r="F3132" s="338" t="s">
        <v>3765</v>
      </c>
      <c r="G3132" s="338" t="s">
        <v>413</v>
      </c>
      <c r="H3132" s="338" t="s">
        <v>412</v>
      </c>
      <c r="I3132" s="338" t="s">
        <v>411</v>
      </c>
      <c r="J3132" s="339"/>
      <c r="K3132" s="339"/>
      <c r="L3132" s="339"/>
      <c r="M3132" s="339"/>
      <c r="N3132" s="338" t="s">
        <v>417</v>
      </c>
      <c r="O3132" s="338" t="s">
        <v>417</v>
      </c>
      <c r="P3132" s="338"/>
    </row>
    <row r="3133" spans="2:16" x14ac:dyDescent="0.25">
      <c r="B3133" s="336" t="s">
        <v>416</v>
      </c>
      <c r="C3133" s="337">
        <v>39357</v>
      </c>
      <c r="D3133" s="338" t="s">
        <v>3764</v>
      </c>
      <c r="E3133" s="336" t="s">
        <v>3763</v>
      </c>
      <c r="F3133" s="338"/>
      <c r="G3133" s="338" t="s">
        <v>413</v>
      </c>
      <c r="H3133" s="338" t="s">
        <v>412</v>
      </c>
      <c r="I3133" s="338" t="s">
        <v>411</v>
      </c>
      <c r="J3133" s="339"/>
      <c r="K3133" s="339"/>
      <c r="L3133" s="339" t="s">
        <v>409</v>
      </c>
      <c r="M3133" s="339" t="s">
        <v>409</v>
      </c>
      <c r="N3133" s="338" t="s">
        <v>410</v>
      </c>
      <c r="O3133" s="338" t="s">
        <v>409</v>
      </c>
      <c r="P3133" s="338" t="s">
        <v>432</v>
      </c>
    </row>
    <row r="3134" spans="2:16" x14ac:dyDescent="0.25">
      <c r="B3134" s="336" t="s">
        <v>416</v>
      </c>
      <c r="C3134" s="337">
        <v>39357</v>
      </c>
      <c r="D3134" s="338" t="s">
        <v>3762</v>
      </c>
      <c r="E3134" s="336" t="s">
        <v>3761</v>
      </c>
      <c r="F3134" s="338"/>
      <c r="G3134" s="338" t="s">
        <v>413</v>
      </c>
      <c r="H3134" s="338" t="s">
        <v>412</v>
      </c>
      <c r="I3134" s="338" t="s">
        <v>411</v>
      </c>
      <c r="J3134" s="339"/>
      <c r="K3134" s="339"/>
      <c r="L3134" s="339" t="s">
        <v>409</v>
      </c>
      <c r="M3134" s="339" t="s">
        <v>409</v>
      </c>
      <c r="N3134" s="338" t="s">
        <v>417</v>
      </c>
      <c r="O3134" s="338" t="s">
        <v>409</v>
      </c>
      <c r="P3134" s="338" t="s">
        <v>417</v>
      </c>
    </row>
    <row r="3135" spans="2:16" x14ac:dyDescent="0.25">
      <c r="B3135" s="336" t="s">
        <v>416</v>
      </c>
      <c r="C3135" s="337">
        <v>39357</v>
      </c>
      <c r="D3135" s="338" t="s">
        <v>3760</v>
      </c>
      <c r="E3135" s="336" t="s">
        <v>3759</v>
      </c>
      <c r="F3135" s="338"/>
      <c r="G3135" s="338" t="s">
        <v>413</v>
      </c>
      <c r="H3135" s="338" t="s">
        <v>425</v>
      </c>
      <c r="I3135" s="338" t="s">
        <v>411</v>
      </c>
      <c r="J3135" s="339"/>
      <c r="K3135" s="339"/>
      <c r="L3135" s="339" t="s">
        <v>409</v>
      </c>
      <c r="M3135" s="339" t="s">
        <v>409</v>
      </c>
      <c r="N3135" s="338"/>
      <c r="O3135" s="338" t="s">
        <v>409</v>
      </c>
      <c r="P3135" s="338" t="s">
        <v>482</v>
      </c>
    </row>
    <row r="3136" spans="2:16" x14ac:dyDescent="0.25">
      <c r="B3136" s="336" t="s">
        <v>416</v>
      </c>
      <c r="C3136" s="337">
        <v>39356</v>
      </c>
      <c r="D3136" s="338" t="s">
        <v>3758</v>
      </c>
      <c r="E3136" s="336" t="s">
        <v>2060</v>
      </c>
      <c r="F3136" s="338"/>
      <c r="G3136" s="338" t="s">
        <v>413</v>
      </c>
      <c r="H3136" s="338" t="s">
        <v>412</v>
      </c>
      <c r="I3136" s="338" t="s">
        <v>411</v>
      </c>
      <c r="J3136" s="339"/>
      <c r="K3136" s="339"/>
      <c r="L3136" s="339" t="s">
        <v>409</v>
      </c>
      <c r="M3136" s="339" t="s">
        <v>409</v>
      </c>
      <c r="N3136" s="338" t="s">
        <v>417</v>
      </c>
      <c r="O3136" s="338" t="s">
        <v>409</v>
      </c>
      <c r="P3136" s="338" t="s">
        <v>417</v>
      </c>
    </row>
    <row r="3137" spans="2:16" x14ac:dyDescent="0.25">
      <c r="B3137" s="336" t="s">
        <v>416</v>
      </c>
      <c r="C3137" s="337">
        <v>39356</v>
      </c>
      <c r="D3137" s="338" t="s">
        <v>3757</v>
      </c>
      <c r="E3137" s="336" t="s">
        <v>3756</v>
      </c>
      <c r="F3137" s="338" t="s">
        <v>3755</v>
      </c>
      <c r="G3137" s="338">
        <v>30</v>
      </c>
      <c r="H3137" s="338" t="s">
        <v>425</v>
      </c>
      <c r="I3137" s="338" t="s">
        <v>411</v>
      </c>
      <c r="J3137" s="339"/>
      <c r="K3137" s="339"/>
      <c r="L3137" s="339"/>
      <c r="M3137" s="339"/>
      <c r="N3137" s="338"/>
      <c r="O3137" s="338" t="s">
        <v>417</v>
      </c>
      <c r="P3137" s="338" t="s">
        <v>443</v>
      </c>
    </row>
    <row r="3138" spans="2:16" x14ac:dyDescent="0.25">
      <c r="B3138" s="336" t="s">
        <v>459</v>
      </c>
      <c r="C3138" s="337">
        <v>39353</v>
      </c>
      <c r="D3138" s="338" t="s">
        <v>3754</v>
      </c>
      <c r="E3138" s="336" t="s">
        <v>3753</v>
      </c>
      <c r="F3138" s="338" t="s">
        <v>3752</v>
      </c>
      <c r="G3138" s="338">
        <v>1.75</v>
      </c>
      <c r="H3138" s="338" t="s">
        <v>429</v>
      </c>
      <c r="I3138" s="338" t="s">
        <v>411</v>
      </c>
      <c r="J3138" s="339"/>
      <c r="K3138" s="339"/>
      <c r="L3138" s="339"/>
      <c r="M3138" s="339"/>
      <c r="N3138" s="338" t="s">
        <v>417</v>
      </c>
      <c r="O3138" s="338" t="s">
        <v>443</v>
      </c>
      <c r="P3138" s="338" t="s">
        <v>417</v>
      </c>
    </row>
    <row r="3139" spans="2:16" x14ac:dyDescent="0.25">
      <c r="B3139" s="336" t="s">
        <v>416</v>
      </c>
      <c r="C3139" s="337">
        <v>39353</v>
      </c>
      <c r="D3139" s="338" t="s">
        <v>3751</v>
      </c>
      <c r="E3139" s="336" t="s">
        <v>3750</v>
      </c>
      <c r="F3139" s="338" t="s">
        <v>3212</v>
      </c>
      <c r="G3139" s="338" t="s">
        <v>413</v>
      </c>
      <c r="H3139" s="338" t="s">
        <v>412</v>
      </c>
      <c r="I3139" s="338" t="s">
        <v>411</v>
      </c>
      <c r="J3139" s="339"/>
      <c r="K3139" s="339"/>
      <c r="L3139" s="339"/>
      <c r="M3139" s="339"/>
      <c r="N3139" s="338" t="s">
        <v>417</v>
      </c>
      <c r="O3139" s="338" t="s">
        <v>417</v>
      </c>
      <c r="P3139" s="338" t="s">
        <v>417</v>
      </c>
    </row>
    <row r="3140" spans="2:16" x14ac:dyDescent="0.25">
      <c r="B3140" s="336" t="s">
        <v>416</v>
      </c>
      <c r="C3140" s="337">
        <v>39353</v>
      </c>
      <c r="D3140" s="338" t="s">
        <v>1239</v>
      </c>
      <c r="E3140" s="336" t="s">
        <v>3749</v>
      </c>
      <c r="F3140" s="338"/>
      <c r="G3140" s="338" t="s">
        <v>413</v>
      </c>
      <c r="H3140" s="338" t="s">
        <v>425</v>
      </c>
      <c r="I3140" s="338" t="s">
        <v>411</v>
      </c>
      <c r="J3140" s="339"/>
      <c r="K3140" s="339"/>
      <c r="L3140" s="339" t="s">
        <v>409</v>
      </c>
      <c r="M3140" s="339" t="s">
        <v>409</v>
      </c>
      <c r="N3140" s="338" t="s">
        <v>487</v>
      </c>
      <c r="O3140" s="338" t="s">
        <v>409</v>
      </c>
      <c r="P3140" s="338" t="s">
        <v>443</v>
      </c>
    </row>
    <row r="3141" spans="2:16" x14ac:dyDescent="0.25">
      <c r="B3141" s="336" t="s">
        <v>416</v>
      </c>
      <c r="C3141" s="337">
        <v>39352</v>
      </c>
      <c r="D3141" s="338" t="s">
        <v>3748</v>
      </c>
      <c r="E3141" s="336" t="s">
        <v>656</v>
      </c>
      <c r="F3141" s="338" t="s">
        <v>685</v>
      </c>
      <c r="G3141" s="338" t="s">
        <v>413</v>
      </c>
      <c r="H3141" s="338" t="s">
        <v>412</v>
      </c>
      <c r="I3141" s="338" t="s">
        <v>411</v>
      </c>
      <c r="J3141" s="339"/>
      <c r="K3141" s="339"/>
      <c r="L3141" s="339">
        <v>0.25489699999999998</v>
      </c>
      <c r="M3141" s="339">
        <v>4.8793300000000004</v>
      </c>
      <c r="N3141" s="338" t="s">
        <v>417</v>
      </c>
      <c r="O3141" s="338" t="s">
        <v>417</v>
      </c>
      <c r="P3141" s="338" t="s">
        <v>408</v>
      </c>
    </row>
    <row r="3142" spans="2:16" x14ac:dyDescent="0.25">
      <c r="B3142" s="336" t="s">
        <v>416</v>
      </c>
      <c r="C3142" s="337">
        <v>39352</v>
      </c>
      <c r="D3142" s="338" t="s">
        <v>3747</v>
      </c>
      <c r="E3142" s="336" t="s">
        <v>3746</v>
      </c>
      <c r="F3142" s="338"/>
      <c r="G3142" s="338">
        <v>65</v>
      </c>
      <c r="H3142" s="338" t="s">
        <v>429</v>
      </c>
      <c r="I3142" s="338" t="s">
        <v>411</v>
      </c>
      <c r="J3142" s="339"/>
      <c r="K3142" s="339"/>
      <c r="L3142" s="339" t="s">
        <v>409</v>
      </c>
      <c r="M3142" s="339" t="s">
        <v>409</v>
      </c>
      <c r="N3142" s="338"/>
      <c r="O3142" s="338" t="s">
        <v>409</v>
      </c>
      <c r="P3142" s="338" t="s">
        <v>605</v>
      </c>
    </row>
    <row r="3143" spans="2:16" x14ac:dyDescent="0.25">
      <c r="B3143" s="336" t="s">
        <v>416</v>
      </c>
      <c r="C3143" s="337">
        <v>39352</v>
      </c>
      <c r="D3143" s="338" t="s">
        <v>3745</v>
      </c>
      <c r="E3143" s="336" t="s">
        <v>656</v>
      </c>
      <c r="F3143" s="338"/>
      <c r="G3143" s="338" t="s">
        <v>413</v>
      </c>
      <c r="H3143" s="338" t="s">
        <v>412</v>
      </c>
      <c r="I3143" s="338" t="s">
        <v>411</v>
      </c>
      <c r="J3143" s="339"/>
      <c r="K3143" s="339"/>
      <c r="L3143" s="339" t="s">
        <v>409</v>
      </c>
      <c r="M3143" s="339" t="s">
        <v>409</v>
      </c>
      <c r="N3143" s="338"/>
      <c r="O3143" s="338" t="s">
        <v>409</v>
      </c>
      <c r="P3143" s="338" t="s">
        <v>408</v>
      </c>
    </row>
    <row r="3144" spans="2:16" x14ac:dyDescent="0.25">
      <c r="B3144" s="336" t="s">
        <v>416</v>
      </c>
      <c r="C3144" s="337">
        <v>39352</v>
      </c>
      <c r="D3144" s="338" t="s">
        <v>3744</v>
      </c>
      <c r="E3144" s="336" t="s">
        <v>1222</v>
      </c>
      <c r="F3144" s="338" t="s">
        <v>3743</v>
      </c>
      <c r="G3144" s="338">
        <v>200</v>
      </c>
      <c r="H3144" s="338" t="s">
        <v>425</v>
      </c>
      <c r="I3144" s="338" t="s">
        <v>411</v>
      </c>
      <c r="J3144" s="339"/>
      <c r="K3144" s="339"/>
      <c r="L3144" s="339">
        <v>0.530887</v>
      </c>
      <c r="M3144" s="339">
        <v>14.640700000000001</v>
      </c>
      <c r="N3144" s="338" t="s">
        <v>417</v>
      </c>
      <c r="O3144" s="338" t="s">
        <v>417</v>
      </c>
      <c r="P3144" s="338" t="s">
        <v>417</v>
      </c>
    </row>
    <row r="3145" spans="2:16" x14ac:dyDescent="0.25">
      <c r="B3145" s="336" t="s">
        <v>416</v>
      </c>
      <c r="C3145" s="337">
        <v>39352</v>
      </c>
      <c r="D3145" s="338" t="s">
        <v>3742</v>
      </c>
      <c r="E3145" s="336" t="s">
        <v>656</v>
      </c>
      <c r="F3145" s="338"/>
      <c r="G3145" s="338" t="s">
        <v>413</v>
      </c>
      <c r="H3145" s="338" t="s">
        <v>425</v>
      </c>
      <c r="I3145" s="338" t="s">
        <v>411</v>
      </c>
      <c r="J3145" s="339"/>
      <c r="K3145" s="339"/>
      <c r="L3145" s="339" t="s">
        <v>409</v>
      </c>
      <c r="M3145" s="339" t="s">
        <v>409</v>
      </c>
      <c r="N3145" s="338"/>
      <c r="O3145" s="338" t="s">
        <v>409</v>
      </c>
      <c r="P3145" s="338" t="s">
        <v>408</v>
      </c>
    </row>
    <row r="3146" spans="2:16" x14ac:dyDescent="0.25">
      <c r="B3146" s="336" t="s">
        <v>416</v>
      </c>
      <c r="C3146" s="337">
        <v>39352</v>
      </c>
      <c r="D3146" s="338" t="s">
        <v>3741</v>
      </c>
      <c r="E3146" s="336" t="s">
        <v>3740</v>
      </c>
      <c r="F3146" s="338" t="s">
        <v>3739</v>
      </c>
      <c r="G3146" s="338">
        <v>1.37</v>
      </c>
      <c r="H3146" s="338" t="s">
        <v>429</v>
      </c>
      <c r="I3146" s="338" t="s">
        <v>411</v>
      </c>
      <c r="J3146" s="339"/>
      <c r="K3146" s="339"/>
      <c r="L3146" s="339"/>
      <c r="M3146" s="339"/>
      <c r="N3146" s="338"/>
      <c r="O3146" s="338" t="s">
        <v>417</v>
      </c>
      <c r="P3146" s="338" t="s">
        <v>417</v>
      </c>
    </row>
    <row r="3147" spans="2:16" x14ac:dyDescent="0.25">
      <c r="B3147" s="336" t="s">
        <v>416</v>
      </c>
      <c r="C3147" s="337">
        <v>39351</v>
      </c>
      <c r="D3147" s="338" t="s">
        <v>3738</v>
      </c>
      <c r="E3147" s="336" t="s">
        <v>2053</v>
      </c>
      <c r="F3147" s="338" t="s">
        <v>3737</v>
      </c>
      <c r="G3147" s="338">
        <v>5.3</v>
      </c>
      <c r="H3147" s="338" t="s">
        <v>425</v>
      </c>
      <c r="I3147" s="338" t="s">
        <v>411</v>
      </c>
      <c r="J3147" s="339"/>
      <c r="K3147" s="339"/>
      <c r="L3147" s="339"/>
      <c r="M3147" s="339"/>
      <c r="N3147" s="338"/>
      <c r="O3147" s="338"/>
      <c r="P3147" s="338" t="s">
        <v>417</v>
      </c>
    </row>
    <row r="3148" spans="2:16" x14ac:dyDescent="0.25">
      <c r="B3148" s="336" t="s">
        <v>416</v>
      </c>
      <c r="C3148" s="337">
        <v>39346</v>
      </c>
      <c r="D3148" s="338" t="s">
        <v>3736</v>
      </c>
      <c r="E3148" s="336" t="s">
        <v>3735</v>
      </c>
      <c r="F3148" s="338"/>
      <c r="G3148" s="338">
        <v>361</v>
      </c>
      <c r="H3148" s="338" t="s">
        <v>425</v>
      </c>
      <c r="I3148" s="338" t="s">
        <v>411</v>
      </c>
      <c r="J3148" s="339"/>
      <c r="K3148" s="339"/>
      <c r="L3148" s="339" t="s">
        <v>409</v>
      </c>
      <c r="M3148" s="339" t="s">
        <v>409</v>
      </c>
      <c r="N3148" s="338" t="s">
        <v>417</v>
      </c>
      <c r="O3148" s="338" t="s">
        <v>409</v>
      </c>
      <c r="P3148" s="338" t="s">
        <v>417</v>
      </c>
    </row>
    <row r="3149" spans="2:16" x14ac:dyDescent="0.25">
      <c r="B3149" s="336" t="s">
        <v>416</v>
      </c>
      <c r="C3149" s="337">
        <v>39346</v>
      </c>
      <c r="D3149" s="338" t="s">
        <v>3734</v>
      </c>
      <c r="E3149" s="336" t="s">
        <v>3733</v>
      </c>
      <c r="F3149" s="338"/>
      <c r="G3149" s="338" t="s">
        <v>413</v>
      </c>
      <c r="H3149" s="338" t="s">
        <v>412</v>
      </c>
      <c r="I3149" s="338" t="s">
        <v>411</v>
      </c>
      <c r="J3149" s="339"/>
      <c r="K3149" s="339"/>
      <c r="L3149" s="339" t="s">
        <v>409</v>
      </c>
      <c r="M3149" s="339" t="s">
        <v>409</v>
      </c>
      <c r="N3149" s="338" t="s">
        <v>417</v>
      </c>
      <c r="O3149" s="338" t="s">
        <v>409</v>
      </c>
      <c r="P3149" s="338" t="s">
        <v>410</v>
      </c>
    </row>
    <row r="3150" spans="2:16" x14ac:dyDescent="0.25">
      <c r="B3150" s="336" t="s">
        <v>416</v>
      </c>
      <c r="C3150" s="337">
        <v>39346</v>
      </c>
      <c r="D3150" s="338" t="s">
        <v>3732</v>
      </c>
      <c r="E3150" s="336" t="s">
        <v>3731</v>
      </c>
      <c r="F3150" s="338" t="s">
        <v>3730</v>
      </c>
      <c r="G3150" s="338" t="s">
        <v>413</v>
      </c>
      <c r="H3150" s="338" t="s">
        <v>425</v>
      </c>
      <c r="I3150" s="338" t="s">
        <v>411</v>
      </c>
      <c r="J3150" s="339"/>
      <c r="K3150" s="339"/>
      <c r="L3150" s="339"/>
      <c r="M3150" s="339"/>
      <c r="N3150" s="338" t="s">
        <v>410</v>
      </c>
      <c r="O3150" s="338" t="s">
        <v>443</v>
      </c>
      <c r="P3150" s="338" t="s">
        <v>443</v>
      </c>
    </row>
    <row r="3151" spans="2:16" x14ac:dyDescent="0.25">
      <c r="B3151" s="336" t="s">
        <v>416</v>
      </c>
      <c r="C3151" s="337">
        <v>39345</v>
      </c>
      <c r="D3151" s="338" t="s">
        <v>3729</v>
      </c>
      <c r="E3151" s="336" t="s">
        <v>2669</v>
      </c>
      <c r="F3151" s="338"/>
      <c r="G3151" s="338" t="s">
        <v>413</v>
      </c>
      <c r="H3151" s="338" t="s">
        <v>412</v>
      </c>
      <c r="I3151" s="338" t="s">
        <v>411</v>
      </c>
      <c r="J3151" s="339"/>
      <c r="K3151" s="339"/>
      <c r="L3151" s="339" t="s">
        <v>409</v>
      </c>
      <c r="M3151" s="339" t="s">
        <v>409</v>
      </c>
      <c r="N3151" s="338"/>
      <c r="O3151" s="338" t="s">
        <v>409</v>
      </c>
      <c r="P3151" s="338" t="s">
        <v>417</v>
      </c>
    </row>
    <row r="3152" spans="2:16" x14ac:dyDescent="0.25">
      <c r="B3152" s="336" t="s">
        <v>416</v>
      </c>
      <c r="C3152" s="337">
        <v>39344</v>
      </c>
      <c r="D3152" s="338" t="s">
        <v>3728</v>
      </c>
      <c r="E3152" s="336" t="s">
        <v>2669</v>
      </c>
      <c r="F3152" s="338"/>
      <c r="G3152" s="338" t="s">
        <v>413</v>
      </c>
      <c r="H3152" s="338" t="s">
        <v>412</v>
      </c>
      <c r="I3152" s="338" t="s">
        <v>411</v>
      </c>
      <c r="J3152" s="339"/>
      <c r="K3152" s="339"/>
      <c r="L3152" s="339" t="s">
        <v>409</v>
      </c>
      <c r="M3152" s="339" t="s">
        <v>409</v>
      </c>
      <c r="N3152" s="338"/>
      <c r="O3152" s="338" t="s">
        <v>409</v>
      </c>
      <c r="P3152" s="338" t="s">
        <v>417</v>
      </c>
    </row>
    <row r="3153" spans="2:16" x14ac:dyDescent="0.25">
      <c r="B3153" s="336" t="s">
        <v>416</v>
      </c>
      <c r="C3153" s="337">
        <v>39344</v>
      </c>
      <c r="D3153" s="338" t="s">
        <v>3727</v>
      </c>
      <c r="E3153" s="336" t="s">
        <v>3726</v>
      </c>
      <c r="F3153" s="338"/>
      <c r="G3153" s="338" t="s">
        <v>413</v>
      </c>
      <c r="H3153" s="338" t="s">
        <v>336</v>
      </c>
      <c r="I3153" s="338" t="s">
        <v>411</v>
      </c>
      <c r="J3153" s="339"/>
      <c r="K3153" s="339"/>
      <c r="L3153" s="339" t="s">
        <v>409</v>
      </c>
      <c r="M3153" s="339" t="s">
        <v>409</v>
      </c>
      <c r="N3153" s="338" t="s">
        <v>417</v>
      </c>
      <c r="O3153" s="338" t="s">
        <v>409</v>
      </c>
      <c r="P3153" s="338" t="s">
        <v>417</v>
      </c>
    </row>
    <row r="3154" spans="2:16" x14ac:dyDescent="0.25">
      <c r="B3154" s="336" t="s">
        <v>416</v>
      </c>
      <c r="C3154" s="337">
        <v>39344</v>
      </c>
      <c r="D3154" s="338" t="s">
        <v>3725</v>
      </c>
      <c r="E3154" s="336" t="s">
        <v>3724</v>
      </c>
      <c r="F3154" s="338" t="s">
        <v>3723</v>
      </c>
      <c r="G3154" s="338" t="s">
        <v>413</v>
      </c>
      <c r="H3154" s="338" t="s">
        <v>425</v>
      </c>
      <c r="I3154" s="338" t="s">
        <v>411</v>
      </c>
      <c r="J3154" s="339"/>
      <c r="K3154" s="339"/>
      <c r="L3154" s="339"/>
      <c r="M3154" s="339"/>
      <c r="N3154" s="338"/>
      <c r="O3154" s="338"/>
      <c r="P3154" s="338" t="s">
        <v>417</v>
      </c>
    </row>
    <row r="3155" spans="2:16" x14ac:dyDescent="0.25">
      <c r="B3155" s="336" t="s">
        <v>416</v>
      </c>
      <c r="C3155" s="337">
        <v>39344</v>
      </c>
      <c r="D3155" s="338" t="s">
        <v>3722</v>
      </c>
      <c r="E3155" s="336" t="s">
        <v>3099</v>
      </c>
      <c r="F3155" s="338" t="s">
        <v>2473</v>
      </c>
      <c r="G3155" s="338">
        <v>55</v>
      </c>
      <c r="H3155" s="338" t="s">
        <v>425</v>
      </c>
      <c r="I3155" s="338" t="s">
        <v>411</v>
      </c>
      <c r="J3155" s="339"/>
      <c r="K3155" s="339"/>
      <c r="L3155" s="339">
        <v>2.3037399999999999</v>
      </c>
      <c r="M3155" s="339">
        <v>12.789199999999999</v>
      </c>
      <c r="N3155" s="338"/>
      <c r="O3155" s="338" t="s">
        <v>408</v>
      </c>
      <c r="P3155" s="338" t="s">
        <v>408</v>
      </c>
    </row>
    <row r="3156" spans="2:16" x14ac:dyDescent="0.25">
      <c r="B3156" s="336" t="s">
        <v>416</v>
      </c>
      <c r="C3156" s="337">
        <v>39343</v>
      </c>
      <c r="D3156" s="338" t="s">
        <v>3721</v>
      </c>
      <c r="E3156" s="336" t="s">
        <v>3720</v>
      </c>
      <c r="F3156" s="338"/>
      <c r="G3156" s="338">
        <v>69.38</v>
      </c>
      <c r="H3156" s="338" t="s">
        <v>425</v>
      </c>
      <c r="I3156" s="338" t="s">
        <v>411</v>
      </c>
      <c r="J3156" s="339">
        <v>0.130492</v>
      </c>
      <c r="K3156" s="339">
        <v>4.58284</v>
      </c>
      <c r="L3156" s="339" t="s">
        <v>409</v>
      </c>
      <c r="M3156" s="339" t="s">
        <v>409</v>
      </c>
      <c r="N3156" s="338" t="s">
        <v>417</v>
      </c>
      <c r="O3156" s="338" t="s">
        <v>409</v>
      </c>
      <c r="P3156" s="338" t="s">
        <v>417</v>
      </c>
    </row>
    <row r="3157" spans="2:16" x14ac:dyDescent="0.25">
      <c r="B3157" s="336" t="s">
        <v>416</v>
      </c>
      <c r="C3157" s="337">
        <v>39343</v>
      </c>
      <c r="D3157" s="338" t="s">
        <v>3719</v>
      </c>
      <c r="E3157" s="336" t="s">
        <v>3718</v>
      </c>
      <c r="F3157" s="338" t="s">
        <v>3717</v>
      </c>
      <c r="G3157" s="338" t="s">
        <v>413</v>
      </c>
      <c r="H3157" s="338" t="s">
        <v>425</v>
      </c>
      <c r="I3157" s="338" t="s">
        <v>411</v>
      </c>
      <c r="J3157" s="339"/>
      <c r="K3157" s="339"/>
      <c r="L3157" s="339"/>
      <c r="M3157" s="339"/>
      <c r="N3157" s="338"/>
      <c r="O3157" s="338" t="s">
        <v>417</v>
      </c>
      <c r="P3157" s="338" t="s">
        <v>417</v>
      </c>
    </row>
    <row r="3158" spans="2:16" x14ac:dyDescent="0.25">
      <c r="B3158" s="336" t="s">
        <v>416</v>
      </c>
      <c r="C3158" s="337">
        <v>39343</v>
      </c>
      <c r="D3158" s="338" t="s">
        <v>3716</v>
      </c>
      <c r="E3158" s="336" t="s">
        <v>2060</v>
      </c>
      <c r="F3158" s="338"/>
      <c r="G3158" s="338" t="s">
        <v>413</v>
      </c>
      <c r="H3158" s="338" t="s">
        <v>412</v>
      </c>
      <c r="I3158" s="338" t="s">
        <v>411</v>
      </c>
      <c r="J3158" s="339"/>
      <c r="K3158" s="339"/>
      <c r="L3158" s="339" t="s">
        <v>409</v>
      </c>
      <c r="M3158" s="339" t="s">
        <v>409</v>
      </c>
      <c r="N3158" s="338" t="s">
        <v>417</v>
      </c>
      <c r="O3158" s="338" t="s">
        <v>409</v>
      </c>
      <c r="P3158" s="338" t="s">
        <v>417</v>
      </c>
    </row>
    <row r="3159" spans="2:16" x14ac:dyDescent="0.25">
      <c r="B3159" s="336" t="s">
        <v>459</v>
      </c>
      <c r="C3159" s="337">
        <v>39342</v>
      </c>
      <c r="D3159" s="338" t="s">
        <v>3715</v>
      </c>
      <c r="E3159" s="336" t="s">
        <v>3714</v>
      </c>
      <c r="F3159" s="338"/>
      <c r="G3159" s="338" t="s">
        <v>413</v>
      </c>
      <c r="H3159" s="338" t="s">
        <v>425</v>
      </c>
      <c r="I3159" s="338" t="s">
        <v>411</v>
      </c>
      <c r="J3159" s="339"/>
      <c r="K3159" s="339"/>
      <c r="L3159" s="339" t="s">
        <v>409</v>
      </c>
      <c r="M3159" s="339" t="s">
        <v>409</v>
      </c>
      <c r="N3159" s="338" t="s">
        <v>417</v>
      </c>
      <c r="O3159" s="338" t="s">
        <v>409</v>
      </c>
      <c r="P3159" s="338"/>
    </row>
    <row r="3160" spans="2:16" x14ac:dyDescent="0.25">
      <c r="B3160" s="336" t="s">
        <v>416</v>
      </c>
      <c r="C3160" s="337">
        <v>39342</v>
      </c>
      <c r="D3160" s="338" t="s">
        <v>3713</v>
      </c>
      <c r="E3160" s="336" t="s">
        <v>3712</v>
      </c>
      <c r="F3160" s="338" t="s">
        <v>3711</v>
      </c>
      <c r="G3160" s="338" t="s">
        <v>413</v>
      </c>
      <c r="H3160" s="338" t="s">
        <v>425</v>
      </c>
      <c r="I3160" s="338" t="s">
        <v>411</v>
      </c>
      <c r="J3160" s="339"/>
      <c r="K3160" s="339"/>
      <c r="L3160" s="339">
        <v>5.4952099999999997E-2</v>
      </c>
      <c r="M3160" s="339"/>
      <c r="N3160" s="338"/>
      <c r="O3160" s="338" t="s">
        <v>410</v>
      </c>
      <c r="P3160" s="338"/>
    </row>
    <row r="3161" spans="2:16" x14ac:dyDescent="0.25">
      <c r="B3161" s="336" t="s">
        <v>416</v>
      </c>
      <c r="C3161" s="337">
        <v>39342</v>
      </c>
      <c r="D3161" s="338" t="s">
        <v>3710</v>
      </c>
      <c r="E3161" s="336" t="s">
        <v>438</v>
      </c>
      <c r="F3161" s="338"/>
      <c r="G3161" s="338">
        <v>3.7</v>
      </c>
      <c r="H3161" s="338" t="s">
        <v>425</v>
      </c>
      <c r="I3161" s="338" t="s">
        <v>411</v>
      </c>
      <c r="J3161" s="339"/>
      <c r="K3161" s="339"/>
      <c r="L3161" s="339" t="s">
        <v>409</v>
      </c>
      <c r="M3161" s="339" t="s">
        <v>409</v>
      </c>
      <c r="N3161" s="338" t="s">
        <v>417</v>
      </c>
      <c r="O3161" s="338" t="s">
        <v>409</v>
      </c>
      <c r="P3161" s="338" t="s">
        <v>417</v>
      </c>
    </row>
    <row r="3162" spans="2:16" x14ac:dyDescent="0.25">
      <c r="B3162" s="336" t="s">
        <v>416</v>
      </c>
      <c r="C3162" s="337">
        <v>39342</v>
      </c>
      <c r="D3162" s="338" t="s">
        <v>3709</v>
      </c>
      <c r="E3162" s="336" t="s">
        <v>3074</v>
      </c>
      <c r="F3162" s="338"/>
      <c r="G3162" s="338" t="s">
        <v>413</v>
      </c>
      <c r="H3162" s="338" t="s">
        <v>412</v>
      </c>
      <c r="I3162" s="338" t="s">
        <v>411</v>
      </c>
      <c r="J3162" s="339"/>
      <c r="K3162" s="339"/>
      <c r="L3162" s="339" t="s">
        <v>409</v>
      </c>
      <c r="M3162" s="339" t="s">
        <v>409</v>
      </c>
      <c r="N3162" s="338" t="s">
        <v>417</v>
      </c>
      <c r="O3162" s="338" t="s">
        <v>409</v>
      </c>
      <c r="P3162" s="338" t="s">
        <v>417</v>
      </c>
    </row>
    <row r="3163" spans="2:16" x14ac:dyDescent="0.25">
      <c r="B3163" s="336" t="s">
        <v>416</v>
      </c>
      <c r="C3163" s="337">
        <v>39342</v>
      </c>
      <c r="D3163" s="338" t="s">
        <v>3708</v>
      </c>
      <c r="E3163" s="336" t="s">
        <v>3707</v>
      </c>
      <c r="F3163" s="338"/>
      <c r="G3163" s="338" t="s">
        <v>413</v>
      </c>
      <c r="H3163" s="338" t="s">
        <v>425</v>
      </c>
      <c r="I3163" s="338" t="s">
        <v>411</v>
      </c>
      <c r="J3163" s="339"/>
      <c r="K3163" s="339"/>
      <c r="L3163" s="339" t="s">
        <v>409</v>
      </c>
      <c r="M3163" s="339" t="s">
        <v>409</v>
      </c>
      <c r="N3163" s="338"/>
      <c r="O3163" s="338" t="s">
        <v>409</v>
      </c>
      <c r="P3163" s="338" t="s">
        <v>432</v>
      </c>
    </row>
    <row r="3164" spans="2:16" x14ac:dyDescent="0.25">
      <c r="B3164" s="336" t="s">
        <v>416</v>
      </c>
      <c r="C3164" s="337">
        <v>39342</v>
      </c>
      <c r="D3164" s="338" t="s">
        <v>3706</v>
      </c>
      <c r="E3164" s="336" t="s">
        <v>1006</v>
      </c>
      <c r="F3164" s="338" t="s">
        <v>3705</v>
      </c>
      <c r="G3164" s="338">
        <v>27.88</v>
      </c>
      <c r="H3164" s="338" t="s">
        <v>336</v>
      </c>
      <c r="I3164" s="338" t="s">
        <v>411</v>
      </c>
      <c r="J3164" s="339"/>
      <c r="K3164" s="339"/>
      <c r="L3164" s="339"/>
      <c r="M3164" s="339"/>
      <c r="N3164" s="338" t="s">
        <v>417</v>
      </c>
      <c r="O3164" s="338" t="s">
        <v>417</v>
      </c>
      <c r="P3164" s="338" t="s">
        <v>417</v>
      </c>
    </row>
    <row r="3165" spans="2:16" x14ac:dyDescent="0.25">
      <c r="B3165" s="336" t="s">
        <v>416</v>
      </c>
      <c r="C3165" s="337">
        <v>39339</v>
      </c>
      <c r="D3165" s="338" t="s">
        <v>3704</v>
      </c>
      <c r="E3165" s="336" t="s">
        <v>3703</v>
      </c>
      <c r="F3165" s="338"/>
      <c r="G3165" s="338" t="s">
        <v>413</v>
      </c>
      <c r="H3165" s="338" t="s">
        <v>425</v>
      </c>
      <c r="I3165" s="338" t="s">
        <v>411</v>
      </c>
      <c r="J3165" s="339"/>
      <c r="K3165" s="339"/>
      <c r="L3165" s="339" t="s">
        <v>409</v>
      </c>
      <c r="M3165" s="339" t="s">
        <v>409</v>
      </c>
      <c r="N3165" s="338" t="s">
        <v>417</v>
      </c>
      <c r="O3165" s="338" t="s">
        <v>409</v>
      </c>
      <c r="P3165" s="338" t="s">
        <v>443</v>
      </c>
    </row>
    <row r="3166" spans="2:16" x14ac:dyDescent="0.25">
      <c r="B3166" s="336" t="s">
        <v>416</v>
      </c>
      <c r="C3166" s="337">
        <v>39339</v>
      </c>
      <c r="D3166" s="338" t="s">
        <v>3702</v>
      </c>
      <c r="E3166" s="336" t="s">
        <v>3701</v>
      </c>
      <c r="F3166" s="338"/>
      <c r="G3166" s="338" t="s">
        <v>413</v>
      </c>
      <c r="H3166" s="338" t="s">
        <v>412</v>
      </c>
      <c r="I3166" s="338" t="s">
        <v>411</v>
      </c>
      <c r="J3166" s="339"/>
      <c r="K3166" s="339"/>
      <c r="L3166" s="339" t="s">
        <v>409</v>
      </c>
      <c r="M3166" s="339" t="s">
        <v>409</v>
      </c>
      <c r="N3166" s="338" t="s">
        <v>417</v>
      </c>
      <c r="O3166" s="338" t="s">
        <v>409</v>
      </c>
      <c r="P3166" s="338" t="s">
        <v>408</v>
      </c>
    </row>
    <row r="3167" spans="2:16" x14ac:dyDescent="0.25">
      <c r="B3167" s="336" t="s">
        <v>416</v>
      </c>
      <c r="C3167" s="337">
        <v>39338</v>
      </c>
      <c r="D3167" s="338" t="s">
        <v>3700</v>
      </c>
      <c r="E3167" s="336" t="s">
        <v>3699</v>
      </c>
      <c r="F3167" s="338"/>
      <c r="G3167" s="338" t="s">
        <v>413</v>
      </c>
      <c r="H3167" s="338" t="s">
        <v>425</v>
      </c>
      <c r="I3167" s="338" t="s">
        <v>411</v>
      </c>
      <c r="J3167" s="339"/>
      <c r="K3167" s="339"/>
      <c r="L3167" s="339" t="s">
        <v>409</v>
      </c>
      <c r="M3167" s="339" t="s">
        <v>409</v>
      </c>
      <c r="N3167" s="338" t="s">
        <v>417</v>
      </c>
      <c r="O3167" s="338" t="s">
        <v>409</v>
      </c>
      <c r="P3167" s="338" t="s">
        <v>443</v>
      </c>
    </row>
    <row r="3168" spans="2:16" x14ac:dyDescent="0.25">
      <c r="B3168" s="336" t="s">
        <v>416</v>
      </c>
      <c r="C3168" s="337">
        <v>39338</v>
      </c>
      <c r="D3168" s="338" t="s">
        <v>3698</v>
      </c>
      <c r="E3168" s="336" t="s">
        <v>3697</v>
      </c>
      <c r="F3168" s="338"/>
      <c r="G3168" s="338">
        <v>5</v>
      </c>
      <c r="H3168" s="338" t="s">
        <v>429</v>
      </c>
      <c r="I3168" s="338" t="s">
        <v>411</v>
      </c>
      <c r="J3168" s="339"/>
      <c r="K3168" s="339"/>
      <c r="L3168" s="339" t="s">
        <v>409</v>
      </c>
      <c r="M3168" s="339" t="s">
        <v>409</v>
      </c>
      <c r="N3168" s="338" t="s">
        <v>417</v>
      </c>
      <c r="O3168" s="338" t="s">
        <v>409</v>
      </c>
      <c r="P3168" s="338" t="s">
        <v>417</v>
      </c>
    </row>
    <row r="3169" spans="2:16" x14ac:dyDescent="0.25">
      <c r="B3169" s="336" t="s">
        <v>416</v>
      </c>
      <c r="C3169" s="337">
        <v>39338</v>
      </c>
      <c r="D3169" s="338" t="s">
        <v>3696</v>
      </c>
      <c r="E3169" s="336" t="s">
        <v>3695</v>
      </c>
      <c r="F3169" s="338"/>
      <c r="G3169" s="338" t="s">
        <v>413</v>
      </c>
      <c r="H3169" s="338" t="s">
        <v>425</v>
      </c>
      <c r="I3169" s="338" t="s">
        <v>411</v>
      </c>
      <c r="J3169" s="339"/>
      <c r="K3169" s="339"/>
      <c r="L3169" s="339" t="s">
        <v>409</v>
      </c>
      <c r="M3169" s="339" t="s">
        <v>409</v>
      </c>
      <c r="N3169" s="338"/>
      <c r="O3169" s="338" t="s">
        <v>409</v>
      </c>
      <c r="P3169" s="338" t="s">
        <v>417</v>
      </c>
    </row>
    <row r="3170" spans="2:16" x14ac:dyDescent="0.25">
      <c r="B3170" s="336" t="s">
        <v>416</v>
      </c>
      <c r="C3170" s="337">
        <v>39337</v>
      </c>
      <c r="D3170" s="338" t="s">
        <v>3694</v>
      </c>
      <c r="E3170" s="336" t="s">
        <v>2762</v>
      </c>
      <c r="F3170" s="338"/>
      <c r="G3170" s="338">
        <v>0.86</v>
      </c>
      <c r="H3170" s="338" t="s">
        <v>336</v>
      </c>
      <c r="I3170" s="338" t="s">
        <v>411</v>
      </c>
      <c r="J3170" s="339"/>
      <c r="K3170" s="339"/>
      <c r="L3170" s="339" t="s">
        <v>409</v>
      </c>
      <c r="M3170" s="339" t="s">
        <v>409</v>
      </c>
      <c r="N3170" s="338" t="s">
        <v>417</v>
      </c>
      <c r="O3170" s="338" t="s">
        <v>409</v>
      </c>
      <c r="P3170" s="338" t="s">
        <v>417</v>
      </c>
    </row>
    <row r="3171" spans="2:16" x14ac:dyDescent="0.25">
      <c r="B3171" s="336" t="s">
        <v>416</v>
      </c>
      <c r="C3171" s="337">
        <v>39337</v>
      </c>
      <c r="D3171" s="338" t="s">
        <v>3693</v>
      </c>
      <c r="E3171" s="336" t="s">
        <v>3692</v>
      </c>
      <c r="F3171" s="338" t="s">
        <v>3691</v>
      </c>
      <c r="G3171" s="338" t="s">
        <v>413</v>
      </c>
      <c r="H3171" s="338" t="s">
        <v>425</v>
      </c>
      <c r="I3171" s="338" t="s">
        <v>411</v>
      </c>
      <c r="J3171" s="339"/>
      <c r="K3171" s="339"/>
      <c r="L3171" s="339"/>
      <c r="M3171" s="339"/>
      <c r="N3171" s="338"/>
      <c r="O3171" s="338" t="s">
        <v>417</v>
      </c>
      <c r="P3171" s="338" t="s">
        <v>417</v>
      </c>
    </row>
    <row r="3172" spans="2:16" x14ac:dyDescent="0.25">
      <c r="B3172" s="336" t="s">
        <v>416</v>
      </c>
      <c r="C3172" s="337">
        <v>39337</v>
      </c>
      <c r="D3172" s="338" t="s">
        <v>3690</v>
      </c>
      <c r="E3172" s="336" t="s">
        <v>3689</v>
      </c>
      <c r="F3172" s="338"/>
      <c r="G3172" s="338" t="s">
        <v>413</v>
      </c>
      <c r="H3172" s="338" t="s">
        <v>412</v>
      </c>
      <c r="I3172" s="338" t="s">
        <v>411</v>
      </c>
      <c r="J3172" s="339"/>
      <c r="K3172" s="339"/>
      <c r="L3172" s="339" t="s">
        <v>409</v>
      </c>
      <c r="M3172" s="339" t="s">
        <v>409</v>
      </c>
      <c r="N3172" s="338" t="s">
        <v>410</v>
      </c>
      <c r="O3172" s="338" t="s">
        <v>409</v>
      </c>
      <c r="P3172" s="338" t="s">
        <v>417</v>
      </c>
    </row>
    <row r="3173" spans="2:16" x14ac:dyDescent="0.25">
      <c r="B3173" s="336" t="s">
        <v>416</v>
      </c>
      <c r="C3173" s="337">
        <v>39336</v>
      </c>
      <c r="D3173" s="338" t="s">
        <v>3688</v>
      </c>
      <c r="E3173" s="336" t="s">
        <v>1143</v>
      </c>
      <c r="F3173" s="338"/>
      <c r="G3173" s="338">
        <v>140.91999999999999</v>
      </c>
      <c r="H3173" s="338" t="s">
        <v>425</v>
      </c>
      <c r="I3173" s="338" t="s">
        <v>411</v>
      </c>
      <c r="J3173" s="339">
        <v>0.18818099999999999</v>
      </c>
      <c r="K3173" s="339">
        <v>4.2094199999999997</v>
      </c>
      <c r="L3173" s="339" t="s">
        <v>409</v>
      </c>
      <c r="M3173" s="339" t="s">
        <v>409</v>
      </c>
      <c r="N3173" s="338" t="s">
        <v>417</v>
      </c>
      <c r="O3173" s="338" t="s">
        <v>409</v>
      </c>
      <c r="P3173" s="338" t="s">
        <v>417</v>
      </c>
    </row>
    <row r="3174" spans="2:16" x14ac:dyDescent="0.25">
      <c r="B3174" s="336" t="s">
        <v>416</v>
      </c>
      <c r="C3174" s="337">
        <v>39335</v>
      </c>
      <c r="D3174" s="338" t="s">
        <v>3687</v>
      </c>
      <c r="E3174" s="336" t="s">
        <v>3686</v>
      </c>
      <c r="F3174" s="338"/>
      <c r="G3174" s="338" t="s">
        <v>413</v>
      </c>
      <c r="H3174" s="338" t="s">
        <v>425</v>
      </c>
      <c r="I3174" s="338" t="s">
        <v>411</v>
      </c>
      <c r="J3174" s="339"/>
      <c r="K3174" s="339"/>
      <c r="L3174" s="339" t="s">
        <v>409</v>
      </c>
      <c r="M3174" s="339" t="s">
        <v>409</v>
      </c>
      <c r="N3174" s="338"/>
      <c r="O3174" s="338" t="s">
        <v>409</v>
      </c>
      <c r="P3174" s="338" t="s">
        <v>432</v>
      </c>
    </row>
    <row r="3175" spans="2:16" x14ac:dyDescent="0.25">
      <c r="B3175" s="336" t="s">
        <v>416</v>
      </c>
      <c r="C3175" s="337">
        <v>39335</v>
      </c>
      <c r="D3175" s="338" t="s">
        <v>3685</v>
      </c>
      <c r="E3175" s="336" t="s">
        <v>3684</v>
      </c>
      <c r="F3175" s="338"/>
      <c r="G3175" s="338" t="s">
        <v>413</v>
      </c>
      <c r="H3175" s="338" t="s">
        <v>412</v>
      </c>
      <c r="I3175" s="338" t="s">
        <v>411</v>
      </c>
      <c r="J3175" s="339"/>
      <c r="K3175" s="339"/>
      <c r="L3175" s="339" t="s">
        <v>409</v>
      </c>
      <c r="M3175" s="339" t="s">
        <v>409</v>
      </c>
      <c r="N3175" s="338" t="s">
        <v>417</v>
      </c>
      <c r="O3175" s="338" t="s">
        <v>409</v>
      </c>
      <c r="P3175" s="338" t="s">
        <v>417</v>
      </c>
    </row>
    <row r="3176" spans="2:16" x14ac:dyDescent="0.25">
      <c r="B3176" s="336" t="s">
        <v>416</v>
      </c>
      <c r="C3176" s="337">
        <v>39335</v>
      </c>
      <c r="D3176" s="338" t="s">
        <v>3683</v>
      </c>
      <c r="E3176" s="336" t="s">
        <v>669</v>
      </c>
      <c r="F3176" s="338" t="s">
        <v>3012</v>
      </c>
      <c r="G3176" s="338">
        <v>33</v>
      </c>
      <c r="H3176" s="338" t="s">
        <v>425</v>
      </c>
      <c r="I3176" s="338" t="s">
        <v>411</v>
      </c>
      <c r="J3176" s="339"/>
      <c r="K3176" s="339"/>
      <c r="L3176" s="339">
        <v>0.371753</v>
      </c>
      <c r="M3176" s="339">
        <v>11.012499999999999</v>
      </c>
      <c r="N3176" s="338" t="s">
        <v>443</v>
      </c>
      <c r="O3176" s="338" t="s">
        <v>417</v>
      </c>
      <c r="P3176" s="338"/>
    </row>
    <row r="3177" spans="2:16" x14ac:dyDescent="0.25">
      <c r="B3177" s="336" t="s">
        <v>416</v>
      </c>
      <c r="C3177" s="337">
        <v>39335</v>
      </c>
      <c r="D3177" s="338" t="s">
        <v>3682</v>
      </c>
      <c r="E3177" s="336" t="s">
        <v>1203</v>
      </c>
      <c r="F3177" s="338"/>
      <c r="G3177" s="338">
        <v>62.9</v>
      </c>
      <c r="H3177" s="338" t="s">
        <v>429</v>
      </c>
      <c r="I3177" s="338" t="s">
        <v>411</v>
      </c>
      <c r="J3177" s="339"/>
      <c r="K3177" s="339"/>
      <c r="L3177" s="339" t="s">
        <v>409</v>
      </c>
      <c r="M3177" s="339" t="s">
        <v>409</v>
      </c>
      <c r="N3177" s="338" t="s">
        <v>417</v>
      </c>
      <c r="O3177" s="338" t="s">
        <v>409</v>
      </c>
      <c r="P3177" s="338" t="s">
        <v>417</v>
      </c>
    </row>
    <row r="3178" spans="2:16" x14ac:dyDescent="0.25">
      <c r="B3178" s="336" t="s">
        <v>416</v>
      </c>
      <c r="C3178" s="337">
        <v>39335</v>
      </c>
      <c r="D3178" s="338" t="s">
        <v>3681</v>
      </c>
      <c r="E3178" s="336" t="s">
        <v>3680</v>
      </c>
      <c r="F3178" s="338"/>
      <c r="G3178" s="338" t="s">
        <v>413</v>
      </c>
      <c r="H3178" s="338" t="s">
        <v>425</v>
      </c>
      <c r="I3178" s="338" t="s">
        <v>411</v>
      </c>
      <c r="J3178" s="339"/>
      <c r="K3178" s="339"/>
      <c r="L3178" s="339" t="s">
        <v>409</v>
      </c>
      <c r="M3178" s="339" t="s">
        <v>409</v>
      </c>
      <c r="N3178" s="338" t="s">
        <v>417</v>
      </c>
      <c r="O3178" s="338" t="s">
        <v>409</v>
      </c>
      <c r="P3178" s="338" t="s">
        <v>443</v>
      </c>
    </row>
    <row r="3179" spans="2:16" x14ac:dyDescent="0.25">
      <c r="B3179" s="336" t="s">
        <v>459</v>
      </c>
      <c r="C3179" s="337">
        <v>39332</v>
      </c>
      <c r="D3179" s="338" t="s">
        <v>3679</v>
      </c>
      <c r="E3179" s="336" t="s">
        <v>3678</v>
      </c>
      <c r="F3179" s="338"/>
      <c r="G3179" s="338">
        <v>25</v>
      </c>
      <c r="H3179" s="338" t="s">
        <v>425</v>
      </c>
      <c r="I3179" s="338" t="s">
        <v>411</v>
      </c>
      <c r="J3179" s="339"/>
      <c r="K3179" s="339"/>
      <c r="L3179" s="339" t="s">
        <v>409</v>
      </c>
      <c r="M3179" s="339" t="s">
        <v>409</v>
      </c>
      <c r="N3179" s="338" t="s">
        <v>417</v>
      </c>
      <c r="O3179" s="338" t="s">
        <v>409</v>
      </c>
      <c r="P3179" s="338" t="s">
        <v>443</v>
      </c>
    </row>
    <row r="3180" spans="2:16" x14ac:dyDescent="0.25">
      <c r="B3180" s="336" t="s">
        <v>416</v>
      </c>
      <c r="C3180" s="337">
        <v>39332</v>
      </c>
      <c r="D3180" s="338" t="s">
        <v>3677</v>
      </c>
      <c r="E3180" s="336" t="s">
        <v>2060</v>
      </c>
      <c r="F3180" s="338"/>
      <c r="G3180" s="338" t="s">
        <v>413</v>
      </c>
      <c r="H3180" s="338" t="s">
        <v>412</v>
      </c>
      <c r="I3180" s="338" t="s">
        <v>411</v>
      </c>
      <c r="J3180" s="339"/>
      <c r="K3180" s="339"/>
      <c r="L3180" s="339" t="s">
        <v>409</v>
      </c>
      <c r="M3180" s="339" t="s">
        <v>409</v>
      </c>
      <c r="N3180" s="338" t="s">
        <v>417</v>
      </c>
      <c r="O3180" s="338" t="s">
        <v>409</v>
      </c>
      <c r="P3180" s="338" t="s">
        <v>417</v>
      </c>
    </row>
    <row r="3181" spans="2:16" x14ac:dyDescent="0.25">
      <c r="B3181" s="336" t="s">
        <v>416</v>
      </c>
      <c r="C3181" s="337">
        <v>39331</v>
      </c>
      <c r="D3181" s="338" t="s">
        <v>3676</v>
      </c>
      <c r="E3181" s="336" t="s">
        <v>2795</v>
      </c>
      <c r="F3181" s="338"/>
      <c r="G3181" s="338" t="s">
        <v>413</v>
      </c>
      <c r="H3181" s="338" t="s">
        <v>425</v>
      </c>
      <c r="I3181" s="338" t="s">
        <v>411</v>
      </c>
      <c r="J3181" s="339"/>
      <c r="K3181" s="339"/>
      <c r="L3181" s="339" t="s">
        <v>409</v>
      </c>
      <c r="M3181" s="339" t="s">
        <v>409</v>
      </c>
      <c r="N3181" s="338" t="s">
        <v>417</v>
      </c>
      <c r="O3181" s="338" t="s">
        <v>409</v>
      </c>
      <c r="P3181" s="338" t="s">
        <v>443</v>
      </c>
    </row>
    <row r="3182" spans="2:16" x14ac:dyDescent="0.25">
      <c r="B3182" s="336" t="s">
        <v>416</v>
      </c>
      <c r="C3182" s="337">
        <v>39331</v>
      </c>
      <c r="D3182" s="338" t="s">
        <v>3675</v>
      </c>
      <c r="E3182" s="336" t="s">
        <v>669</v>
      </c>
      <c r="F3182" s="338" t="s">
        <v>3076</v>
      </c>
      <c r="G3182" s="338">
        <v>10.4</v>
      </c>
      <c r="H3182" s="338" t="s">
        <v>425</v>
      </c>
      <c r="I3182" s="338" t="s">
        <v>411</v>
      </c>
      <c r="J3182" s="339"/>
      <c r="K3182" s="339"/>
      <c r="L3182" s="339">
        <v>0.37287900000000002</v>
      </c>
      <c r="M3182" s="339">
        <v>7.0573100000000002</v>
      </c>
      <c r="N3182" s="338"/>
      <c r="O3182" s="338" t="s">
        <v>408</v>
      </c>
      <c r="P3182" s="338"/>
    </row>
    <row r="3183" spans="2:16" x14ac:dyDescent="0.25">
      <c r="B3183" s="336" t="s">
        <v>416</v>
      </c>
      <c r="C3183" s="337">
        <v>39330</v>
      </c>
      <c r="D3183" s="338" t="s">
        <v>3674</v>
      </c>
      <c r="E3183" s="336" t="s">
        <v>3673</v>
      </c>
      <c r="F3183" s="338" t="s">
        <v>3293</v>
      </c>
      <c r="G3183" s="338" t="s">
        <v>413</v>
      </c>
      <c r="H3183" s="338" t="s">
        <v>425</v>
      </c>
      <c r="I3183" s="338" t="s">
        <v>411</v>
      </c>
      <c r="J3183" s="339"/>
      <c r="K3183" s="339"/>
      <c r="L3183" s="339"/>
      <c r="M3183" s="339"/>
      <c r="N3183" s="338" t="s">
        <v>487</v>
      </c>
      <c r="O3183" s="338" t="s">
        <v>443</v>
      </c>
      <c r="P3183" s="338" t="s">
        <v>443</v>
      </c>
    </row>
    <row r="3184" spans="2:16" x14ac:dyDescent="0.25">
      <c r="B3184" s="336" t="s">
        <v>416</v>
      </c>
      <c r="C3184" s="337">
        <v>39330</v>
      </c>
      <c r="D3184" s="338" t="s">
        <v>3672</v>
      </c>
      <c r="E3184" s="336" t="s">
        <v>669</v>
      </c>
      <c r="F3184" s="338" t="s">
        <v>1712</v>
      </c>
      <c r="G3184" s="338" t="s">
        <v>413</v>
      </c>
      <c r="H3184" s="338" t="s">
        <v>425</v>
      </c>
      <c r="I3184" s="338" t="s">
        <v>411</v>
      </c>
      <c r="J3184" s="339"/>
      <c r="K3184" s="339"/>
      <c r="L3184" s="339">
        <v>0.69886999999999999</v>
      </c>
      <c r="M3184" s="339"/>
      <c r="N3184" s="338"/>
      <c r="O3184" s="338" t="s">
        <v>417</v>
      </c>
      <c r="P3184" s="338"/>
    </row>
    <row r="3185" spans="2:16" x14ac:dyDescent="0.25">
      <c r="B3185" s="336" t="s">
        <v>416</v>
      </c>
      <c r="C3185" s="337">
        <v>39330</v>
      </c>
      <c r="D3185" s="338" t="s">
        <v>3671</v>
      </c>
      <c r="E3185" s="336" t="s">
        <v>1371</v>
      </c>
      <c r="F3185" s="338"/>
      <c r="G3185" s="338">
        <v>20.28</v>
      </c>
      <c r="H3185" s="338" t="s">
        <v>429</v>
      </c>
      <c r="I3185" s="338" t="s">
        <v>411</v>
      </c>
      <c r="J3185" s="339"/>
      <c r="K3185" s="339"/>
      <c r="L3185" s="339" t="s">
        <v>409</v>
      </c>
      <c r="M3185" s="339" t="s">
        <v>409</v>
      </c>
      <c r="N3185" s="338" t="s">
        <v>410</v>
      </c>
      <c r="O3185" s="338" t="s">
        <v>409</v>
      </c>
      <c r="P3185" s="338" t="s">
        <v>417</v>
      </c>
    </row>
    <row r="3186" spans="2:16" x14ac:dyDescent="0.25">
      <c r="B3186" s="336" t="s">
        <v>416</v>
      </c>
      <c r="C3186" s="337">
        <v>39329</v>
      </c>
      <c r="D3186" s="338" t="s">
        <v>3670</v>
      </c>
      <c r="E3186" s="336" t="s">
        <v>3669</v>
      </c>
      <c r="F3186" s="338" t="s">
        <v>3668</v>
      </c>
      <c r="G3186" s="338" t="s">
        <v>413</v>
      </c>
      <c r="H3186" s="338" t="s">
        <v>425</v>
      </c>
      <c r="I3186" s="338" t="s">
        <v>411</v>
      </c>
      <c r="J3186" s="339"/>
      <c r="K3186" s="339"/>
      <c r="L3186" s="339"/>
      <c r="M3186" s="339"/>
      <c r="N3186" s="338"/>
      <c r="O3186" s="338" t="s">
        <v>408</v>
      </c>
      <c r="P3186" s="338" t="s">
        <v>417</v>
      </c>
    </row>
    <row r="3187" spans="2:16" x14ac:dyDescent="0.25">
      <c r="B3187" s="336" t="s">
        <v>416</v>
      </c>
      <c r="C3187" s="337">
        <v>39329</v>
      </c>
      <c r="D3187" s="338" t="s">
        <v>3667</v>
      </c>
      <c r="E3187" s="336" t="s">
        <v>3666</v>
      </c>
      <c r="F3187" s="338" t="s">
        <v>3665</v>
      </c>
      <c r="G3187" s="338" t="s">
        <v>413</v>
      </c>
      <c r="H3187" s="338" t="s">
        <v>425</v>
      </c>
      <c r="I3187" s="338" t="s">
        <v>411</v>
      </c>
      <c r="J3187" s="339"/>
      <c r="K3187" s="339"/>
      <c r="L3187" s="339"/>
      <c r="M3187" s="339"/>
      <c r="N3187" s="338"/>
      <c r="O3187" s="338"/>
      <c r="P3187" s="338" t="s">
        <v>443</v>
      </c>
    </row>
    <row r="3188" spans="2:16" x14ac:dyDescent="0.25">
      <c r="B3188" s="336" t="s">
        <v>416</v>
      </c>
      <c r="C3188" s="337">
        <v>39329</v>
      </c>
      <c r="D3188" s="338" t="s">
        <v>3664</v>
      </c>
      <c r="E3188" s="336" t="s">
        <v>3663</v>
      </c>
      <c r="F3188" s="338"/>
      <c r="G3188" s="338" t="s">
        <v>413</v>
      </c>
      <c r="H3188" s="338" t="s">
        <v>425</v>
      </c>
      <c r="I3188" s="338" t="s">
        <v>411</v>
      </c>
      <c r="J3188" s="339"/>
      <c r="K3188" s="339"/>
      <c r="L3188" s="339" t="s">
        <v>409</v>
      </c>
      <c r="M3188" s="339" t="s">
        <v>409</v>
      </c>
      <c r="N3188" s="338"/>
      <c r="O3188" s="338" t="s">
        <v>409</v>
      </c>
      <c r="P3188" s="338" t="s">
        <v>443</v>
      </c>
    </row>
    <row r="3189" spans="2:16" x14ac:dyDescent="0.25">
      <c r="B3189" s="336" t="s">
        <v>459</v>
      </c>
      <c r="C3189" s="337">
        <v>39328</v>
      </c>
      <c r="D3189" s="338" t="s">
        <v>1427</v>
      </c>
      <c r="E3189" s="336" t="s">
        <v>730</v>
      </c>
      <c r="F3189" s="338" t="s">
        <v>3662</v>
      </c>
      <c r="G3189" s="338">
        <v>47.8</v>
      </c>
      <c r="H3189" s="338" t="s">
        <v>429</v>
      </c>
      <c r="I3189" s="338" t="s">
        <v>411</v>
      </c>
      <c r="J3189" s="339"/>
      <c r="K3189" s="339"/>
      <c r="L3189" s="339">
        <v>1.72424</v>
      </c>
      <c r="M3189" s="339"/>
      <c r="N3189" s="338" t="s">
        <v>417</v>
      </c>
      <c r="O3189" s="338" t="s">
        <v>417</v>
      </c>
      <c r="P3189" s="338" t="s">
        <v>417</v>
      </c>
    </row>
    <row r="3190" spans="2:16" x14ac:dyDescent="0.25">
      <c r="B3190" s="336" t="s">
        <v>416</v>
      </c>
      <c r="C3190" s="337">
        <v>39325</v>
      </c>
      <c r="D3190" s="338" t="s">
        <v>3661</v>
      </c>
      <c r="E3190" s="336" t="s">
        <v>3659</v>
      </c>
      <c r="F3190" s="338" t="s">
        <v>598</v>
      </c>
      <c r="G3190" s="338" t="s">
        <v>413</v>
      </c>
      <c r="H3190" s="338" t="s">
        <v>412</v>
      </c>
      <c r="I3190" s="338" t="s">
        <v>411</v>
      </c>
      <c r="J3190" s="339"/>
      <c r="K3190" s="339"/>
      <c r="L3190" s="339">
        <v>0.68403599999999998</v>
      </c>
      <c r="M3190" s="339">
        <v>13.4612</v>
      </c>
      <c r="N3190" s="338" t="s">
        <v>417</v>
      </c>
      <c r="O3190" s="338" t="s">
        <v>417</v>
      </c>
      <c r="P3190" s="338" t="s">
        <v>417</v>
      </c>
    </row>
    <row r="3191" spans="2:16" x14ac:dyDescent="0.25">
      <c r="B3191" s="336" t="s">
        <v>416</v>
      </c>
      <c r="C3191" s="337">
        <v>39325</v>
      </c>
      <c r="D3191" s="338" t="s">
        <v>3660</v>
      </c>
      <c r="E3191" s="336" t="s">
        <v>598</v>
      </c>
      <c r="F3191" s="338" t="s">
        <v>3659</v>
      </c>
      <c r="G3191" s="338" t="s">
        <v>413</v>
      </c>
      <c r="H3191" s="338" t="s">
        <v>412</v>
      </c>
      <c r="I3191" s="338" t="s">
        <v>411</v>
      </c>
      <c r="J3191" s="339"/>
      <c r="K3191" s="339"/>
      <c r="L3191" s="339"/>
      <c r="M3191" s="339"/>
      <c r="N3191" s="338" t="s">
        <v>417</v>
      </c>
      <c r="O3191" s="338" t="s">
        <v>417</v>
      </c>
      <c r="P3191" s="338" t="s">
        <v>417</v>
      </c>
    </row>
    <row r="3192" spans="2:16" x14ac:dyDescent="0.25">
      <c r="B3192" s="336" t="s">
        <v>416</v>
      </c>
      <c r="C3192" s="337">
        <v>39325</v>
      </c>
      <c r="D3192" s="338" t="s">
        <v>3658</v>
      </c>
      <c r="E3192" s="336" t="s">
        <v>3657</v>
      </c>
      <c r="F3192" s="338"/>
      <c r="G3192" s="338" t="s">
        <v>413</v>
      </c>
      <c r="H3192" s="338" t="s">
        <v>425</v>
      </c>
      <c r="I3192" s="338" t="s">
        <v>411</v>
      </c>
      <c r="J3192" s="339"/>
      <c r="K3192" s="339"/>
      <c r="L3192" s="339" t="s">
        <v>409</v>
      </c>
      <c r="M3192" s="339" t="s">
        <v>409</v>
      </c>
      <c r="N3192" s="338" t="s">
        <v>417</v>
      </c>
      <c r="O3192" s="338" t="s">
        <v>409</v>
      </c>
      <c r="P3192" s="338" t="s">
        <v>443</v>
      </c>
    </row>
    <row r="3193" spans="2:16" x14ac:dyDescent="0.25">
      <c r="B3193" s="336" t="s">
        <v>416</v>
      </c>
      <c r="C3193" s="337">
        <v>39323</v>
      </c>
      <c r="D3193" s="338" t="s">
        <v>3656</v>
      </c>
      <c r="E3193" s="336" t="s">
        <v>3655</v>
      </c>
      <c r="F3193" s="338" t="s">
        <v>3654</v>
      </c>
      <c r="G3193" s="338" t="s">
        <v>413</v>
      </c>
      <c r="H3193" s="338" t="s">
        <v>412</v>
      </c>
      <c r="I3193" s="338" t="s">
        <v>411</v>
      </c>
      <c r="J3193" s="339"/>
      <c r="K3193" s="339"/>
      <c r="L3193" s="339"/>
      <c r="M3193" s="339"/>
      <c r="N3193" s="338" t="s">
        <v>417</v>
      </c>
      <c r="O3193" s="338" t="s">
        <v>443</v>
      </c>
      <c r="P3193" s="338" t="s">
        <v>443</v>
      </c>
    </row>
    <row r="3194" spans="2:16" x14ac:dyDescent="0.25">
      <c r="B3194" s="336" t="s">
        <v>416</v>
      </c>
      <c r="C3194" s="337">
        <v>39322</v>
      </c>
      <c r="D3194" s="338" t="s">
        <v>3653</v>
      </c>
      <c r="E3194" s="336" t="s">
        <v>3652</v>
      </c>
      <c r="F3194" s="338"/>
      <c r="G3194" s="338">
        <v>49.92</v>
      </c>
      <c r="H3194" s="338" t="s">
        <v>425</v>
      </c>
      <c r="I3194" s="338" t="s">
        <v>411</v>
      </c>
      <c r="J3194" s="339">
        <v>0.193907</v>
      </c>
      <c r="K3194" s="339">
        <v>6.3999300000000003</v>
      </c>
      <c r="L3194" s="339" t="s">
        <v>409</v>
      </c>
      <c r="M3194" s="339" t="s">
        <v>409</v>
      </c>
      <c r="N3194" s="338" t="s">
        <v>417</v>
      </c>
      <c r="O3194" s="338" t="s">
        <v>409</v>
      </c>
      <c r="P3194" s="338" t="s">
        <v>410</v>
      </c>
    </row>
    <row r="3195" spans="2:16" x14ac:dyDescent="0.25">
      <c r="B3195" s="336" t="s">
        <v>416</v>
      </c>
      <c r="C3195" s="337">
        <v>39322</v>
      </c>
      <c r="D3195" s="338" t="s">
        <v>3651</v>
      </c>
      <c r="E3195" s="336" t="s">
        <v>3650</v>
      </c>
      <c r="F3195" s="338" t="s">
        <v>3649</v>
      </c>
      <c r="G3195" s="338" t="s">
        <v>413</v>
      </c>
      <c r="H3195" s="338" t="s">
        <v>425</v>
      </c>
      <c r="I3195" s="338" t="s">
        <v>411</v>
      </c>
      <c r="J3195" s="339"/>
      <c r="K3195" s="339"/>
      <c r="L3195" s="339"/>
      <c r="M3195" s="339"/>
      <c r="N3195" s="338"/>
      <c r="O3195" s="338" t="s">
        <v>417</v>
      </c>
      <c r="P3195" s="338" t="s">
        <v>417</v>
      </c>
    </row>
    <row r="3196" spans="2:16" x14ac:dyDescent="0.25">
      <c r="B3196" s="336" t="s">
        <v>416</v>
      </c>
      <c r="C3196" s="337">
        <v>39322</v>
      </c>
      <c r="D3196" s="338" t="s">
        <v>3648</v>
      </c>
      <c r="E3196" s="336" t="s">
        <v>3647</v>
      </c>
      <c r="F3196" s="338"/>
      <c r="G3196" s="338" t="s">
        <v>413</v>
      </c>
      <c r="H3196" s="338" t="s">
        <v>425</v>
      </c>
      <c r="I3196" s="338" t="s">
        <v>411</v>
      </c>
      <c r="J3196" s="339"/>
      <c r="K3196" s="339"/>
      <c r="L3196" s="339" t="s">
        <v>409</v>
      </c>
      <c r="M3196" s="339" t="s">
        <v>409</v>
      </c>
      <c r="N3196" s="338"/>
      <c r="O3196" s="338" t="s">
        <v>409</v>
      </c>
      <c r="P3196" s="338" t="s">
        <v>417</v>
      </c>
    </row>
    <row r="3197" spans="2:16" x14ac:dyDescent="0.25">
      <c r="B3197" s="336" t="s">
        <v>416</v>
      </c>
      <c r="C3197" s="337">
        <v>39321</v>
      </c>
      <c r="D3197" s="338" t="s">
        <v>3646</v>
      </c>
      <c r="E3197" s="336" t="s">
        <v>3611</v>
      </c>
      <c r="F3197" s="338"/>
      <c r="G3197" s="338" t="s">
        <v>413</v>
      </c>
      <c r="H3197" s="338" t="s">
        <v>412</v>
      </c>
      <c r="I3197" s="338" t="s">
        <v>411</v>
      </c>
      <c r="J3197" s="339"/>
      <c r="K3197" s="339"/>
      <c r="L3197" s="339" t="s">
        <v>409</v>
      </c>
      <c r="M3197" s="339" t="s">
        <v>409</v>
      </c>
      <c r="N3197" s="338" t="s">
        <v>408</v>
      </c>
      <c r="O3197" s="338" t="s">
        <v>409</v>
      </c>
      <c r="P3197" s="338" t="s">
        <v>410</v>
      </c>
    </row>
    <row r="3198" spans="2:16" x14ac:dyDescent="0.25">
      <c r="B3198" s="336" t="s">
        <v>416</v>
      </c>
      <c r="C3198" s="337">
        <v>39321</v>
      </c>
      <c r="D3198" s="338" t="s">
        <v>3645</v>
      </c>
      <c r="E3198" s="336" t="s">
        <v>438</v>
      </c>
      <c r="F3198" s="338"/>
      <c r="G3198" s="338">
        <v>4.5</v>
      </c>
      <c r="H3198" s="338" t="s">
        <v>425</v>
      </c>
      <c r="I3198" s="338" t="s">
        <v>411</v>
      </c>
      <c r="J3198" s="339"/>
      <c r="K3198" s="339"/>
      <c r="L3198" s="339" t="s">
        <v>409</v>
      </c>
      <c r="M3198" s="339" t="s">
        <v>409</v>
      </c>
      <c r="N3198" s="338"/>
      <c r="O3198" s="338" t="s">
        <v>409</v>
      </c>
      <c r="P3198" s="338" t="s">
        <v>417</v>
      </c>
    </row>
    <row r="3199" spans="2:16" x14ac:dyDescent="0.25">
      <c r="B3199" s="336" t="s">
        <v>416</v>
      </c>
      <c r="C3199" s="337">
        <v>39318</v>
      </c>
      <c r="D3199" s="338" t="s">
        <v>2024</v>
      </c>
      <c r="E3199" s="336" t="s">
        <v>3644</v>
      </c>
      <c r="F3199" s="338" t="s">
        <v>2023</v>
      </c>
      <c r="G3199" s="338">
        <v>330</v>
      </c>
      <c r="H3199" s="338" t="s">
        <v>425</v>
      </c>
      <c r="I3199" s="338" t="s">
        <v>411</v>
      </c>
      <c r="J3199" s="339"/>
      <c r="K3199" s="339"/>
      <c r="L3199" s="339"/>
      <c r="M3199" s="339"/>
      <c r="N3199" s="338" t="s">
        <v>417</v>
      </c>
      <c r="O3199" s="338" t="s">
        <v>443</v>
      </c>
      <c r="P3199" s="338" t="s">
        <v>417</v>
      </c>
    </row>
    <row r="3200" spans="2:16" x14ac:dyDescent="0.25">
      <c r="B3200" s="336" t="s">
        <v>416</v>
      </c>
      <c r="C3200" s="337">
        <v>39317</v>
      </c>
      <c r="D3200" s="338" t="s">
        <v>3643</v>
      </c>
      <c r="E3200" s="336" t="s">
        <v>3642</v>
      </c>
      <c r="F3200" s="338"/>
      <c r="G3200" s="338" t="s">
        <v>413</v>
      </c>
      <c r="H3200" s="338" t="s">
        <v>425</v>
      </c>
      <c r="I3200" s="338" t="s">
        <v>411</v>
      </c>
      <c r="J3200" s="339"/>
      <c r="K3200" s="339"/>
      <c r="L3200" s="339" t="s">
        <v>409</v>
      </c>
      <c r="M3200" s="339" t="s">
        <v>409</v>
      </c>
      <c r="N3200" s="338" t="s">
        <v>417</v>
      </c>
      <c r="O3200" s="338" t="s">
        <v>409</v>
      </c>
      <c r="P3200" s="338" t="s">
        <v>443</v>
      </c>
    </row>
    <row r="3201" spans="2:16" x14ac:dyDescent="0.25">
      <c r="B3201" s="336" t="s">
        <v>416</v>
      </c>
      <c r="C3201" s="337">
        <v>39317</v>
      </c>
      <c r="D3201" s="338" t="s">
        <v>3641</v>
      </c>
      <c r="E3201" s="336" t="s">
        <v>716</v>
      </c>
      <c r="F3201" s="338"/>
      <c r="G3201" s="338">
        <v>200</v>
      </c>
      <c r="H3201" s="338" t="s">
        <v>412</v>
      </c>
      <c r="I3201" s="338" t="s">
        <v>411</v>
      </c>
      <c r="J3201" s="339"/>
      <c r="K3201" s="339"/>
      <c r="L3201" s="339" t="s">
        <v>409</v>
      </c>
      <c r="M3201" s="339" t="s">
        <v>409</v>
      </c>
      <c r="N3201" s="338" t="s">
        <v>417</v>
      </c>
      <c r="O3201" s="338" t="s">
        <v>409</v>
      </c>
      <c r="P3201" s="338" t="s">
        <v>443</v>
      </c>
    </row>
    <row r="3202" spans="2:16" x14ac:dyDescent="0.25">
      <c r="B3202" s="336" t="s">
        <v>416</v>
      </c>
      <c r="C3202" s="337">
        <v>39315</v>
      </c>
      <c r="D3202" s="338" t="s">
        <v>3640</v>
      </c>
      <c r="E3202" s="336" t="s">
        <v>3639</v>
      </c>
      <c r="F3202" s="338" t="s">
        <v>3638</v>
      </c>
      <c r="G3202" s="338" t="s">
        <v>413</v>
      </c>
      <c r="H3202" s="338" t="s">
        <v>425</v>
      </c>
      <c r="I3202" s="338" t="s">
        <v>411</v>
      </c>
      <c r="J3202" s="339"/>
      <c r="K3202" s="339"/>
      <c r="L3202" s="339"/>
      <c r="M3202" s="339"/>
      <c r="N3202" s="338" t="s">
        <v>417</v>
      </c>
      <c r="O3202" s="338" t="s">
        <v>443</v>
      </c>
      <c r="P3202" s="338"/>
    </row>
    <row r="3203" spans="2:16" x14ac:dyDescent="0.25">
      <c r="B3203" s="336" t="s">
        <v>416</v>
      </c>
      <c r="C3203" s="337">
        <v>39315</v>
      </c>
      <c r="D3203" s="338" t="s">
        <v>3637</v>
      </c>
      <c r="E3203" s="336" t="s">
        <v>3636</v>
      </c>
      <c r="F3203" s="338"/>
      <c r="G3203" s="338" t="s">
        <v>413</v>
      </c>
      <c r="H3203" s="338" t="s">
        <v>412</v>
      </c>
      <c r="I3203" s="338" t="s">
        <v>411</v>
      </c>
      <c r="J3203" s="339"/>
      <c r="K3203" s="339"/>
      <c r="L3203" s="339" t="s">
        <v>409</v>
      </c>
      <c r="M3203" s="339" t="s">
        <v>409</v>
      </c>
      <c r="N3203" s="338" t="s">
        <v>417</v>
      </c>
      <c r="O3203" s="338" t="s">
        <v>409</v>
      </c>
      <c r="P3203" s="338" t="s">
        <v>443</v>
      </c>
    </row>
    <row r="3204" spans="2:16" x14ac:dyDescent="0.25">
      <c r="B3204" s="336" t="s">
        <v>416</v>
      </c>
      <c r="C3204" s="337">
        <v>39314</v>
      </c>
      <c r="D3204" s="338" t="s">
        <v>3635</v>
      </c>
      <c r="E3204" s="336" t="s">
        <v>3634</v>
      </c>
      <c r="F3204" s="338"/>
      <c r="G3204" s="338" t="s">
        <v>413</v>
      </c>
      <c r="H3204" s="338" t="s">
        <v>412</v>
      </c>
      <c r="I3204" s="338" t="s">
        <v>411</v>
      </c>
      <c r="J3204" s="339"/>
      <c r="K3204" s="339"/>
      <c r="L3204" s="339" t="s">
        <v>409</v>
      </c>
      <c r="M3204" s="339" t="s">
        <v>409</v>
      </c>
      <c r="N3204" s="338" t="s">
        <v>410</v>
      </c>
      <c r="O3204" s="338" t="s">
        <v>409</v>
      </c>
      <c r="P3204" s="338" t="s">
        <v>543</v>
      </c>
    </row>
    <row r="3205" spans="2:16" x14ac:dyDescent="0.25">
      <c r="B3205" s="336" t="s">
        <v>416</v>
      </c>
      <c r="C3205" s="337">
        <v>39314</v>
      </c>
      <c r="D3205" s="338" t="s">
        <v>3633</v>
      </c>
      <c r="E3205" s="336" t="s">
        <v>3632</v>
      </c>
      <c r="F3205" s="338"/>
      <c r="G3205" s="338" t="s">
        <v>413</v>
      </c>
      <c r="H3205" s="338" t="s">
        <v>412</v>
      </c>
      <c r="I3205" s="338" t="s">
        <v>411</v>
      </c>
      <c r="J3205" s="339"/>
      <c r="K3205" s="339"/>
      <c r="L3205" s="339" t="s">
        <v>409</v>
      </c>
      <c r="M3205" s="339" t="s">
        <v>409</v>
      </c>
      <c r="N3205" s="338" t="s">
        <v>417</v>
      </c>
      <c r="O3205" s="338" t="s">
        <v>409</v>
      </c>
      <c r="P3205" s="338" t="s">
        <v>417</v>
      </c>
    </row>
    <row r="3206" spans="2:16" x14ac:dyDescent="0.25">
      <c r="B3206" s="336" t="s">
        <v>416</v>
      </c>
      <c r="C3206" s="337">
        <v>39314</v>
      </c>
      <c r="D3206" s="338" t="s">
        <v>3631</v>
      </c>
      <c r="E3206" s="336" t="s">
        <v>1036</v>
      </c>
      <c r="F3206" s="338"/>
      <c r="G3206" s="338">
        <v>55</v>
      </c>
      <c r="H3206" s="338" t="s">
        <v>429</v>
      </c>
      <c r="I3206" s="338" t="s">
        <v>411</v>
      </c>
      <c r="J3206" s="339"/>
      <c r="K3206" s="339"/>
      <c r="L3206" s="339" t="s">
        <v>409</v>
      </c>
      <c r="M3206" s="339" t="s">
        <v>409</v>
      </c>
      <c r="N3206" s="338" t="s">
        <v>605</v>
      </c>
      <c r="O3206" s="338" t="s">
        <v>409</v>
      </c>
      <c r="P3206" s="338" t="s">
        <v>417</v>
      </c>
    </row>
    <row r="3207" spans="2:16" x14ac:dyDescent="0.25">
      <c r="B3207" s="336" t="s">
        <v>416</v>
      </c>
      <c r="C3207" s="337">
        <v>39311</v>
      </c>
      <c r="D3207" s="338" t="s">
        <v>3630</v>
      </c>
      <c r="E3207" s="336" t="s">
        <v>3629</v>
      </c>
      <c r="F3207" s="338" t="s">
        <v>3628</v>
      </c>
      <c r="G3207" s="338" t="s">
        <v>413</v>
      </c>
      <c r="H3207" s="338" t="s">
        <v>412</v>
      </c>
      <c r="I3207" s="338" t="s">
        <v>411</v>
      </c>
      <c r="J3207" s="339"/>
      <c r="K3207" s="339"/>
      <c r="L3207" s="339"/>
      <c r="M3207" s="339"/>
      <c r="N3207" s="338" t="s">
        <v>417</v>
      </c>
      <c r="O3207" s="338" t="s">
        <v>543</v>
      </c>
      <c r="P3207" s="338" t="s">
        <v>443</v>
      </c>
    </row>
    <row r="3208" spans="2:16" x14ac:dyDescent="0.25">
      <c r="B3208" s="336" t="s">
        <v>416</v>
      </c>
      <c r="C3208" s="337">
        <v>39310</v>
      </c>
      <c r="D3208" s="338" t="s">
        <v>3109</v>
      </c>
      <c r="E3208" s="336" t="s">
        <v>3627</v>
      </c>
      <c r="F3208" s="338"/>
      <c r="G3208" s="338">
        <v>1361.01</v>
      </c>
      <c r="H3208" s="338" t="s">
        <v>425</v>
      </c>
      <c r="I3208" s="338" t="s">
        <v>411</v>
      </c>
      <c r="J3208" s="339">
        <v>1.4863299999999999</v>
      </c>
      <c r="K3208" s="339">
        <v>13.742100000000001</v>
      </c>
      <c r="L3208" s="339" t="s">
        <v>409</v>
      </c>
      <c r="M3208" s="339" t="s">
        <v>409</v>
      </c>
      <c r="N3208" s="338" t="s">
        <v>417</v>
      </c>
      <c r="O3208" s="338" t="s">
        <v>409</v>
      </c>
      <c r="P3208" s="338" t="s">
        <v>417</v>
      </c>
    </row>
    <row r="3209" spans="2:16" x14ac:dyDescent="0.25">
      <c r="B3209" s="336" t="s">
        <v>416</v>
      </c>
      <c r="C3209" s="337">
        <v>39310</v>
      </c>
      <c r="D3209" s="338" t="s">
        <v>750</v>
      </c>
      <c r="E3209" s="336" t="s">
        <v>3626</v>
      </c>
      <c r="F3209" s="338" t="s">
        <v>749</v>
      </c>
      <c r="G3209" s="338">
        <v>200</v>
      </c>
      <c r="H3209" s="338" t="s">
        <v>425</v>
      </c>
      <c r="I3209" s="338" t="s">
        <v>411</v>
      </c>
      <c r="J3209" s="339"/>
      <c r="K3209" s="339"/>
      <c r="L3209" s="339"/>
      <c r="M3209" s="339"/>
      <c r="N3209" s="338" t="s">
        <v>417</v>
      </c>
      <c r="O3209" s="338" t="s">
        <v>443</v>
      </c>
      <c r="P3209" s="338" t="s">
        <v>417</v>
      </c>
    </row>
    <row r="3210" spans="2:16" x14ac:dyDescent="0.25">
      <c r="B3210" s="336" t="s">
        <v>416</v>
      </c>
      <c r="C3210" s="337">
        <v>39310</v>
      </c>
      <c r="D3210" s="338" t="s">
        <v>3625</v>
      </c>
      <c r="E3210" s="336" t="s">
        <v>1685</v>
      </c>
      <c r="F3210" s="338"/>
      <c r="G3210" s="338">
        <v>12</v>
      </c>
      <c r="H3210" s="338" t="s">
        <v>425</v>
      </c>
      <c r="I3210" s="338" t="s">
        <v>411</v>
      </c>
      <c r="J3210" s="339"/>
      <c r="K3210" s="339"/>
      <c r="L3210" s="339" t="s">
        <v>409</v>
      </c>
      <c r="M3210" s="339" t="s">
        <v>409</v>
      </c>
      <c r="N3210" s="338" t="s">
        <v>417</v>
      </c>
      <c r="O3210" s="338" t="s">
        <v>409</v>
      </c>
      <c r="P3210" s="338" t="s">
        <v>417</v>
      </c>
    </row>
    <row r="3211" spans="2:16" x14ac:dyDescent="0.25">
      <c r="B3211" s="336" t="s">
        <v>416</v>
      </c>
      <c r="C3211" s="337">
        <v>39310</v>
      </c>
      <c r="D3211" s="338" t="s">
        <v>3624</v>
      </c>
      <c r="E3211" s="336" t="s">
        <v>3623</v>
      </c>
      <c r="F3211" s="338"/>
      <c r="G3211" s="338" t="s">
        <v>413</v>
      </c>
      <c r="H3211" s="338" t="s">
        <v>412</v>
      </c>
      <c r="I3211" s="338" t="s">
        <v>411</v>
      </c>
      <c r="J3211" s="339"/>
      <c r="K3211" s="339"/>
      <c r="L3211" s="339" t="s">
        <v>409</v>
      </c>
      <c r="M3211" s="339" t="s">
        <v>409</v>
      </c>
      <c r="N3211" s="338" t="s">
        <v>417</v>
      </c>
      <c r="O3211" s="338" t="s">
        <v>409</v>
      </c>
      <c r="P3211" s="338" t="s">
        <v>417</v>
      </c>
    </row>
    <row r="3212" spans="2:16" x14ac:dyDescent="0.25">
      <c r="B3212" s="336" t="s">
        <v>416</v>
      </c>
      <c r="C3212" s="337">
        <v>39309</v>
      </c>
      <c r="D3212" s="338" t="s">
        <v>3622</v>
      </c>
      <c r="E3212" s="336" t="s">
        <v>3621</v>
      </c>
      <c r="F3212" s="338"/>
      <c r="G3212" s="338" t="s">
        <v>413</v>
      </c>
      <c r="H3212" s="338" t="s">
        <v>412</v>
      </c>
      <c r="I3212" s="338" t="s">
        <v>411</v>
      </c>
      <c r="J3212" s="339"/>
      <c r="K3212" s="339"/>
      <c r="L3212" s="339" t="s">
        <v>409</v>
      </c>
      <c r="M3212" s="339" t="s">
        <v>409</v>
      </c>
      <c r="N3212" s="338" t="s">
        <v>432</v>
      </c>
      <c r="O3212" s="338" t="s">
        <v>409</v>
      </c>
      <c r="P3212" s="338" t="s">
        <v>417</v>
      </c>
    </row>
    <row r="3213" spans="2:16" x14ac:dyDescent="0.25">
      <c r="B3213" s="336" t="s">
        <v>416</v>
      </c>
      <c r="C3213" s="337">
        <v>39309</v>
      </c>
      <c r="D3213" s="338" t="s">
        <v>692</v>
      </c>
      <c r="E3213" s="336" t="s">
        <v>1452</v>
      </c>
      <c r="F3213" s="338"/>
      <c r="G3213" s="338" t="s">
        <v>413</v>
      </c>
      <c r="H3213" s="338" t="s">
        <v>412</v>
      </c>
      <c r="I3213" s="338" t="s">
        <v>411</v>
      </c>
      <c r="J3213" s="339"/>
      <c r="K3213" s="339"/>
      <c r="L3213" s="339" t="s">
        <v>409</v>
      </c>
      <c r="M3213" s="339" t="s">
        <v>409</v>
      </c>
      <c r="N3213" s="338"/>
      <c r="O3213" s="338" t="s">
        <v>409</v>
      </c>
      <c r="P3213" s="338" t="s">
        <v>417</v>
      </c>
    </row>
    <row r="3214" spans="2:16" x14ac:dyDescent="0.25">
      <c r="B3214" s="336" t="s">
        <v>416</v>
      </c>
      <c r="C3214" s="337">
        <v>39309</v>
      </c>
      <c r="D3214" s="338" t="s">
        <v>3620</v>
      </c>
      <c r="E3214" s="336" t="s">
        <v>3619</v>
      </c>
      <c r="F3214" s="338"/>
      <c r="G3214" s="338" t="s">
        <v>413</v>
      </c>
      <c r="H3214" s="338" t="s">
        <v>412</v>
      </c>
      <c r="I3214" s="338" t="s">
        <v>411</v>
      </c>
      <c r="J3214" s="339"/>
      <c r="K3214" s="339"/>
      <c r="L3214" s="339" t="s">
        <v>409</v>
      </c>
      <c r="M3214" s="339" t="s">
        <v>409</v>
      </c>
      <c r="N3214" s="338" t="s">
        <v>417</v>
      </c>
      <c r="O3214" s="338" t="s">
        <v>409</v>
      </c>
      <c r="P3214" s="338" t="s">
        <v>408</v>
      </c>
    </row>
    <row r="3215" spans="2:16" x14ac:dyDescent="0.25">
      <c r="B3215" s="336" t="s">
        <v>416</v>
      </c>
      <c r="C3215" s="337">
        <v>39308</v>
      </c>
      <c r="D3215" s="338" t="s">
        <v>3618</v>
      </c>
      <c r="E3215" s="336" t="s">
        <v>3098</v>
      </c>
      <c r="F3215" s="338"/>
      <c r="G3215" s="338">
        <v>46</v>
      </c>
      <c r="H3215" s="338" t="s">
        <v>425</v>
      </c>
      <c r="I3215" s="338" t="s">
        <v>411</v>
      </c>
      <c r="J3215" s="339"/>
      <c r="K3215" s="339"/>
      <c r="L3215" s="339" t="s">
        <v>409</v>
      </c>
      <c r="M3215" s="339" t="s">
        <v>409</v>
      </c>
      <c r="N3215" s="338" t="s">
        <v>417</v>
      </c>
      <c r="O3215" s="338" t="s">
        <v>409</v>
      </c>
      <c r="P3215" s="338" t="s">
        <v>417</v>
      </c>
    </row>
    <row r="3216" spans="2:16" x14ac:dyDescent="0.25">
      <c r="B3216" s="336" t="s">
        <v>416</v>
      </c>
      <c r="C3216" s="337">
        <v>39308</v>
      </c>
      <c r="D3216" s="338" t="s">
        <v>3488</v>
      </c>
      <c r="E3216" s="336" t="s">
        <v>2243</v>
      </c>
      <c r="F3216" s="338" t="s">
        <v>3572</v>
      </c>
      <c r="G3216" s="338">
        <v>11</v>
      </c>
      <c r="H3216" s="338" t="s">
        <v>425</v>
      </c>
      <c r="I3216" s="338" t="s">
        <v>411</v>
      </c>
      <c r="J3216" s="339"/>
      <c r="K3216" s="339"/>
      <c r="L3216" s="339"/>
      <c r="M3216" s="339"/>
      <c r="N3216" s="338"/>
      <c r="O3216" s="338" t="s">
        <v>417</v>
      </c>
      <c r="P3216" s="338" t="s">
        <v>443</v>
      </c>
    </row>
    <row r="3217" spans="2:16" x14ac:dyDescent="0.25">
      <c r="B3217" s="336" t="s">
        <v>416</v>
      </c>
      <c r="C3217" s="337">
        <v>39307</v>
      </c>
      <c r="D3217" s="338" t="s">
        <v>3617</v>
      </c>
      <c r="E3217" s="336" t="s">
        <v>1705</v>
      </c>
      <c r="F3217" s="338" t="s">
        <v>3616</v>
      </c>
      <c r="G3217" s="338" t="s">
        <v>413</v>
      </c>
      <c r="H3217" s="338" t="s">
        <v>412</v>
      </c>
      <c r="I3217" s="338" t="s">
        <v>411</v>
      </c>
      <c r="J3217" s="339"/>
      <c r="K3217" s="339"/>
      <c r="L3217" s="339"/>
      <c r="M3217" s="339"/>
      <c r="N3217" s="338" t="s">
        <v>417</v>
      </c>
      <c r="O3217" s="338" t="s">
        <v>443</v>
      </c>
      <c r="P3217" s="338" t="s">
        <v>443</v>
      </c>
    </row>
    <row r="3218" spans="2:16" x14ac:dyDescent="0.25">
      <c r="B3218" s="336" t="s">
        <v>416</v>
      </c>
      <c r="C3218" s="337">
        <v>39304</v>
      </c>
      <c r="D3218" s="338" t="s">
        <v>3615</v>
      </c>
      <c r="E3218" s="336" t="s">
        <v>1956</v>
      </c>
      <c r="F3218" s="338" t="s">
        <v>1517</v>
      </c>
      <c r="G3218" s="338" t="s">
        <v>413</v>
      </c>
      <c r="H3218" s="338" t="s">
        <v>412</v>
      </c>
      <c r="I3218" s="338" t="s">
        <v>411</v>
      </c>
      <c r="J3218" s="339"/>
      <c r="K3218" s="339"/>
      <c r="L3218" s="339">
        <v>13.152200000000001</v>
      </c>
      <c r="M3218" s="339">
        <v>45.072299999999998</v>
      </c>
      <c r="N3218" s="338" t="s">
        <v>417</v>
      </c>
      <c r="O3218" s="338" t="s">
        <v>443</v>
      </c>
      <c r="P3218" s="338" t="s">
        <v>432</v>
      </c>
    </row>
    <row r="3219" spans="2:16" x14ac:dyDescent="0.25">
      <c r="B3219" s="336" t="s">
        <v>416</v>
      </c>
      <c r="C3219" s="337">
        <v>39304</v>
      </c>
      <c r="D3219" s="338" t="s">
        <v>3614</v>
      </c>
      <c r="E3219" s="336" t="s">
        <v>3613</v>
      </c>
      <c r="F3219" s="338" t="s">
        <v>3612</v>
      </c>
      <c r="G3219" s="338" t="s">
        <v>413</v>
      </c>
      <c r="H3219" s="338" t="s">
        <v>425</v>
      </c>
      <c r="I3219" s="338" t="s">
        <v>411</v>
      </c>
      <c r="J3219" s="339"/>
      <c r="K3219" s="339"/>
      <c r="L3219" s="339"/>
      <c r="M3219" s="339"/>
      <c r="N3219" s="338"/>
      <c r="O3219" s="338" t="s">
        <v>417</v>
      </c>
      <c r="P3219" s="338" t="s">
        <v>417</v>
      </c>
    </row>
    <row r="3220" spans="2:16" x14ac:dyDescent="0.25">
      <c r="B3220" s="336" t="s">
        <v>416</v>
      </c>
      <c r="C3220" s="337">
        <v>39303</v>
      </c>
      <c r="D3220" s="338" t="s">
        <v>3611</v>
      </c>
      <c r="E3220" s="336" t="s">
        <v>891</v>
      </c>
      <c r="F3220" s="338"/>
      <c r="G3220" s="338" t="s">
        <v>413</v>
      </c>
      <c r="H3220" s="338" t="s">
        <v>412</v>
      </c>
      <c r="I3220" s="338" t="s">
        <v>411</v>
      </c>
      <c r="J3220" s="339"/>
      <c r="K3220" s="339"/>
      <c r="L3220" s="339" t="s">
        <v>409</v>
      </c>
      <c r="M3220" s="339" t="s">
        <v>409</v>
      </c>
      <c r="N3220" s="338" t="s">
        <v>410</v>
      </c>
      <c r="O3220" s="338" t="s">
        <v>409</v>
      </c>
      <c r="P3220" s="338" t="s">
        <v>410</v>
      </c>
    </row>
    <row r="3221" spans="2:16" x14ac:dyDescent="0.25">
      <c r="B3221" s="336" t="s">
        <v>416</v>
      </c>
      <c r="C3221" s="337">
        <v>39303</v>
      </c>
      <c r="D3221" s="338" t="s">
        <v>3610</v>
      </c>
      <c r="E3221" s="336" t="s">
        <v>3609</v>
      </c>
      <c r="F3221" s="338"/>
      <c r="G3221" s="338" t="s">
        <v>413</v>
      </c>
      <c r="H3221" s="338" t="s">
        <v>412</v>
      </c>
      <c r="I3221" s="338" t="s">
        <v>411</v>
      </c>
      <c r="J3221" s="339"/>
      <c r="K3221" s="339"/>
      <c r="L3221" s="339" t="s">
        <v>409</v>
      </c>
      <c r="M3221" s="339" t="s">
        <v>409</v>
      </c>
      <c r="N3221" s="338" t="s">
        <v>417</v>
      </c>
      <c r="O3221" s="338" t="s">
        <v>409</v>
      </c>
      <c r="P3221" s="338" t="s">
        <v>432</v>
      </c>
    </row>
    <row r="3222" spans="2:16" x14ac:dyDescent="0.25">
      <c r="B3222" s="336" t="s">
        <v>416</v>
      </c>
      <c r="C3222" s="337">
        <v>39302</v>
      </c>
      <c r="D3222" s="338" t="s">
        <v>3608</v>
      </c>
      <c r="E3222" s="336" t="s">
        <v>3607</v>
      </c>
      <c r="F3222" s="338"/>
      <c r="G3222" s="338" t="s">
        <v>413</v>
      </c>
      <c r="H3222" s="338" t="s">
        <v>425</v>
      </c>
      <c r="I3222" s="338" t="s">
        <v>411</v>
      </c>
      <c r="J3222" s="339"/>
      <c r="K3222" s="339"/>
      <c r="L3222" s="339" t="s">
        <v>409</v>
      </c>
      <c r="M3222" s="339" t="s">
        <v>409</v>
      </c>
      <c r="N3222" s="338" t="s">
        <v>417</v>
      </c>
      <c r="O3222" s="338" t="s">
        <v>409</v>
      </c>
      <c r="P3222" s="338" t="s">
        <v>443</v>
      </c>
    </row>
    <row r="3223" spans="2:16" x14ac:dyDescent="0.25">
      <c r="B3223" s="336" t="s">
        <v>416</v>
      </c>
      <c r="C3223" s="337">
        <v>39302</v>
      </c>
      <c r="D3223" s="338" t="s">
        <v>3606</v>
      </c>
      <c r="E3223" s="336" t="s">
        <v>2145</v>
      </c>
      <c r="F3223" s="338"/>
      <c r="G3223" s="338" t="s">
        <v>413</v>
      </c>
      <c r="H3223" s="338" t="s">
        <v>425</v>
      </c>
      <c r="I3223" s="338" t="s">
        <v>411</v>
      </c>
      <c r="J3223" s="339"/>
      <c r="K3223" s="339"/>
      <c r="L3223" s="339" t="s">
        <v>409</v>
      </c>
      <c r="M3223" s="339" t="s">
        <v>409</v>
      </c>
      <c r="N3223" s="338" t="s">
        <v>410</v>
      </c>
      <c r="O3223" s="338" t="s">
        <v>409</v>
      </c>
      <c r="P3223" s="338" t="s">
        <v>410</v>
      </c>
    </row>
    <row r="3224" spans="2:16" x14ac:dyDescent="0.25">
      <c r="B3224" s="336" t="s">
        <v>416</v>
      </c>
      <c r="C3224" s="337">
        <v>39302</v>
      </c>
      <c r="D3224" s="338" t="s">
        <v>3605</v>
      </c>
      <c r="E3224" s="336" t="s">
        <v>2939</v>
      </c>
      <c r="F3224" s="338"/>
      <c r="G3224" s="338" t="s">
        <v>413</v>
      </c>
      <c r="H3224" s="338" t="s">
        <v>412</v>
      </c>
      <c r="I3224" s="338" t="s">
        <v>411</v>
      </c>
      <c r="J3224" s="339"/>
      <c r="K3224" s="339"/>
      <c r="L3224" s="339" t="s">
        <v>409</v>
      </c>
      <c r="M3224" s="339" t="s">
        <v>409</v>
      </c>
      <c r="N3224" s="338" t="s">
        <v>432</v>
      </c>
      <c r="O3224" s="338" t="s">
        <v>409</v>
      </c>
      <c r="P3224" s="338" t="s">
        <v>417</v>
      </c>
    </row>
    <row r="3225" spans="2:16" x14ac:dyDescent="0.25">
      <c r="B3225" s="336" t="s">
        <v>416</v>
      </c>
      <c r="C3225" s="337">
        <v>39302</v>
      </c>
      <c r="D3225" s="338" t="s">
        <v>3604</v>
      </c>
      <c r="E3225" s="336" t="s">
        <v>3603</v>
      </c>
      <c r="F3225" s="338"/>
      <c r="G3225" s="338" t="s">
        <v>413</v>
      </c>
      <c r="H3225" s="338" t="s">
        <v>425</v>
      </c>
      <c r="I3225" s="338" t="s">
        <v>411</v>
      </c>
      <c r="J3225" s="339"/>
      <c r="K3225" s="339"/>
      <c r="L3225" s="339" t="s">
        <v>409</v>
      </c>
      <c r="M3225" s="339" t="s">
        <v>409</v>
      </c>
      <c r="N3225" s="338" t="s">
        <v>417</v>
      </c>
      <c r="O3225" s="338" t="s">
        <v>409</v>
      </c>
      <c r="P3225" s="338" t="s">
        <v>443</v>
      </c>
    </row>
    <row r="3226" spans="2:16" x14ac:dyDescent="0.25">
      <c r="B3226" s="336" t="s">
        <v>416</v>
      </c>
      <c r="C3226" s="337">
        <v>39302</v>
      </c>
      <c r="D3226" s="338" t="s">
        <v>3602</v>
      </c>
      <c r="E3226" s="336" t="s">
        <v>3601</v>
      </c>
      <c r="F3226" s="338"/>
      <c r="G3226" s="338" t="s">
        <v>413</v>
      </c>
      <c r="H3226" s="338" t="s">
        <v>425</v>
      </c>
      <c r="I3226" s="338" t="s">
        <v>411</v>
      </c>
      <c r="J3226" s="339"/>
      <c r="K3226" s="339"/>
      <c r="L3226" s="339" t="s">
        <v>409</v>
      </c>
      <c r="M3226" s="339" t="s">
        <v>409</v>
      </c>
      <c r="N3226" s="338"/>
      <c r="O3226" s="338" t="s">
        <v>409</v>
      </c>
      <c r="P3226" s="338" t="s">
        <v>443</v>
      </c>
    </row>
    <row r="3227" spans="2:16" x14ac:dyDescent="0.25">
      <c r="B3227" s="336" t="s">
        <v>416</v>
      </c>
      <c r="C3227" s="337">
        <v>39301</v>
      </c>
      <c r="D3227" s="338" t="s">
        <v>3600</v>
      </c>
      <c r="E3227" s="336" t="s">
        <v>3599</v>
      </c>
      <c r="F3227" s="338"/>
      <c r="G3227" s="338" t="s">
        <v>413</v>
      </c>
      <c r="H3227" s="338" t="s">
        <v>425</v>
      </c>
      <c r="I3227" s="338" t="s">
        <v>411</v>
      </c>
      <c r="J3227" s="339"/>
      <c r="K3227" s="339"/>
      <c r="L3227" s="339" t="s">
        <v>409</v>
      </c>
      <c r="M3227" s="339" t="s">
        <v>409</v>
      </c>
      <c r="N3227" s="338"/>
      <c r="O3227" s="338" t="s">
        <v>409</v>
      </c>
      <c r="P3227" s="338" t="s">
        <v>443</v>
      </c>
    </row>
    <row r="3228" spans="2:16" x14ac:dyDescent="0.25">
      <c r="B3228" s="336" t="s">
        <v>416</v>
      </c>
      <c r="C3228" s="337">
        <v>39301</v>
      </c>
      <c r="D3228" s="338" t="s">
        <v>3598</v>
      </c>
      <c r="E3228" s="336" t="s">
        <v>514</v>
      </c>
      <c r="F3228" s="338"/>
      <c r="G3228" s="338" t="s">
        <v>413</v>
      </c>
      <c r="H3228" s="338" t="s">
        <v>425</v>
      </c>
      <c r="I3228" s="338" t="s">
        <v>411</v>
      </c>
      <c r="J3228" s="339"/>
      <c r="K3228" s="339"/>
      <c r="L3228" s="339" t="s">
        <v>409</v>
      </c>
      <c r="M3228" s="339" t="s">
        <v>409</v>
      </c>
      <c r="N3228" s="338" t="s">
        <v>417</v>
      </c>
      <c r="O3228" s="338" t="s">
        <v>409</v>
      </c>
      <c r="P3228" s="338"/>
    </row>
    <row r="3229" spans="2:16" x14ac:dyDescent="0.25">
      <c r="B3229" s="336" t="s">
        <v>416</v>
      </c>
      <c r="C3229" s="337">
        <v>39301</v>
      </c>
      <c r="D3229" s="338" t="s">
        <v>3597</v>
      </c>
      <c r="E3229" s="336" t="s">
        <v>3596</v>
      </c>
      <c r="F3229" s="338" t="s">
        <v>3595</v>
      </c>
      <c r="G3229" s="338" t="s">
        <v>413</v>
      </c>
      <c r="H3229" s="338" t="s">
        <v>425</v>
      </c>
      <c r="I3229" s="338" t="s">
        <v>411</v>
      </c>
      <c r="J3229" s="339"/>
      <c r="K3229" s="339"/>
      <c r="L3229" s="339"/>
      <c r="M3229" s="339"/>
      <c r="N3229" s="338"/>
      <c r="O3229" s="338" t="s">
        <v>443</v>
      </c>
      <c r="P3229" s="338" t="s">
        <v>443</v>
      </c>
    </row>
    <row r="3230" spans="2:16" x14ac:dyDescent="0.25">
      <c r="B3230" s="336" t="s">
        <v>416</v>
      </c>
      <c r="C3230" s="337">
        <v>39300</v>
      </c>
      <c r="D3230" s="338" t="s">
        <v>3594</v>
      </c>
      <c r="E3230" s="336" t="s">
        <v>468</v>
      </c>
      <c r="F3230" s="338" t="s">
        <v>2586</v>
      </c>
      <c r="G3230" s="338" t="s">
        <v>413</v>
      </c>
      <c r="H3230" s="338" t="s">
        <v>425</v>
      </c>
      <c r="I3230" s="338" t="s">
        <v>411</v>
      </c>
      <c r="J3230" s="339"/>
      <c r="K3230" s="339"/>
      <c r="L3230" s="339">
        <v>3.8223400000000001</v>
      </c>
      <c r="M3230" s="339">
        <v>10.3803</v>
      </c>
      <c r="N3230" s="338" t="s">
        <v>417</v>
      </c>
      <c r="O3230" s="338" t="s">
        <v>417</v>
      </c>
      <c r="P3230" s="338" t="s">
        <v>443</v>
      </c>
    </row>
    <row r="3231" spans="2:16" x14ac:dyDescent="0.25">
      <c r="B3231" s="336" t="s">
        <v>416</v>
      </c>
      <c r="C3231" s="337">
        <v>39300</v>
      </c>
      <c r="D3231" s="338" t="s">
        <v>3593</v>
      </c>
      <c r="E3231" s="336" t="s">
        <v>514</v>
      </c>
      <c r="F3231" s="338"/>
      <c r="G3231" s="338" t="s">
        <v>413</v>
      </c>
      <c r="H3231" s="338" t="s">
        <v>412</v>
      </c>
      <c r="I3231" s="338" t="s">
        <v>411</v>
      </c>
      <c r="J3231" s="339"/>
      <c r="K3231" s="339"/>
      <c r="L3231" s="339" t="s">
        <v>409</v>
      </c>
      <c r="M3231" s="339" t="s">
        <v>409</v>
      </c>
      <c r="N3231" s="338" t="s">
        <v>417</v>
      </c>
      <c r="O3231" s="338" t="s">
        <v>409</v>
      </c>
      <c r="P3231" s="338"/>
    </row>
    <row r="3232" spans="2:16" x14ac:dyDescent="0.25">
      <c r="B3232" s="336" t="s">
        <v>416</v>
      </c>
      <c r="C3232" s="337">
        <v>39300</v>
      </c>
      <c r="D3232" s="338" t="s">
        <v>3592</v>
      </c>
      <c r="E3232" s="336" t="s">
        <v>1107</v>
      </c>
      <c r="F3232" s="338"/>
      <c r="G3232" s="338" t="s">
        <v>413</v>
      </c>
      <c r="H3232" s="338" t="s">
        <v>412</v>
      </c>
      <c r="I3232" s="338" t="s">
        <v>411</v>
      </c>
      <c r="J3232" s="339"/>
      <c r="K3232" s="339"/>
      <c r="L3232" s="339" t="s">
        <v>409</v>
      </c>
      <c r="M3232" s="339" t="s">
        <v>409</v>
      </c>
      <c r="N3232" s="338" t="s">
        <v>417</v>
      </c>
      <c r="O3232" s="338" t="s">
        <v>409</v>
      </c>
      <c r="P3232" s="338" t="s">
        <v>417</v>
      </c>
    </row>
    <row r="3233" spans="2:16" x14ac:dyDescent="0.25">
      <c r="B3233" s="336" t="s">
        <v>416</v>
      </c>
      <c r="C3233" s="337">
        <v>39300</v>
      </c>
      <c r="D3233" s="338" t="s">
        <v>3125</v>
      </c>
      <c r="E3233" s="336" t="s">
        <v>1073</v>
      </c>
      <c r="F3233" s="338"/>
      <c r="G3233" s="338">
        <v>3.45</v>
      </c>
      <c r="H3233" s="338" t="s">
        <v>425</v>
      </c>
      <c r="I3233" s="338" t="s">
        <v>411</v>
      </c>
      <c r="J3233" s="339">
        <v>1.08345</v>
      </c>
      <c r="K3233" s="339"/>
      <c r="L3233" s="339" t="s">
        <v>409</v>
      </c>
      <c r="M3233" s="339" t="s">
        <v>409</v>
      </c>
      <c r="N3233" s="338" t="s">
        <v>410</v>
      </c>
      <c r="O3233" s="338" t="s">
        <v>409</v>
      </c>
      <c r="P3233" s="338" t="s">
        <v>410</v>
      </c>
    </row>
    <row r="3234" spans="2:16" x14ac:dyDescent="0.25">
      <c r="B3234" s="336" t="s">
        <v>416</v>
      </c>
      <c r="C3234" s="337">
        <v>39296</v>
      </c>
      <c r="D3234" s="338" t="s">
        <v>3591</v>
      </c>
      <c r="E3234" s="336" t="s">
        <v>3590</v>
      </c>
      <c r="F3234" s="338"/>
      <c r="G3234" s="338">
        <v>60</v>
      </c>
      <c r="H3234" s="338" t="s">
        <v>425</v>
      </c>
      <c r="I3234" s="338" t="s">
        <v>411</v>
      </c>
      <c r="J3234" s="339"/>
      <c r="K3234" s="339"/>
      <c r="L3234" s="339" t="s">
        <v>409</v>
      </c>
      <c r="M3234" s="339" t="s">
        <v>409</v>
      </c>
      <c r="N3234" s="338" t="s">
        <v>417</v>
      </c>
      <c r="O3234" s="338" t="s">
        <v>409</v>
      </c>
      <c r="P3234" s="338" t="s">
        <v>443</v>
      </c>
    </row>
    <row r="3235" spans="2:16" x14ac:dyDescent="0.25">
      <c r="B3235" s="336" t="s">
        <v>416</v>
      </c>
      <c r="C3235" s="337">
        <v>39296</v>
      </c>
      <c r="D3235" s="338" t="s">
        <v>3589</v>
      </c>
      <c r="E3235" s="336" t="s">
        <v>3588</v>
      </c>
      <c r="F3235" s="338"/>
      <c r="G3235" s="338" t="s">
        <v>413</v>
      </c>
      <c r="H3235" s="338" t="s">
        <v>412</v>
      </c>
      <c r="I3235" s="338" t="s">
        <v>411</v>
      </c>
      <c r="J3235" s="339"/>
      <c r="K3235" s="339"/>
      <c r="L3235" s="339" t="s">
        <v>409</v>
      </c>
      <c r="M3235" s="339" t="s">
        <v>409</v>
      </c>
      <c r="N3235" s="338" t="s">
        <v>417</v>
      </c>
      <c r="O3235" s="338" t="s">
        <v>409</v>
      </c>
      <c r="P3235" s="338" t="s">
        <v>417</v>
      </c>
    </row>
    <row r="3236" spans="2:16" x14ac:dyDescent="0.25">
      <c r="B3236" s="336" t="s">
        <v>416</v>
      </c>
      <c r="C3236" s="337">
        <v>39296</v>
      </c>
      <c r="D3236" s="338" t="s">
        <v>3587</v>
      </c>
      <c r="E3236" s="336" t="s">
        <v>3586</v>
      </c>
      <c r="F3236" s="338" t="s">
        <v>1574</v>
      </c>
      <c r="G3236" s="338" t="s">
        <v>413</v>
      </c>
      <c r="H3236" s="338" t="s">
        <v>412</v>
      </c>
      <c r="I3236" s="338" t="s">
        <v>411</v>
      </c>
      <c r="J3236" s="339"/>
      <c r="K3236" s="339"/>
      <c r="L3236" s="339">
        <v>2.8004099999999998</v>
      </c>
      <c r="M3236" s="339">
        <v>11.8912</v>
      </c>
      <c r="N3236" s="338" t="s">
        <v>417</v>
      </c>
      <c r="O3236" s="338" t="s">
        <v>417</v>
      </c>
      <c r="P3236" s="338" t="s">
        <v>417</v>
      </c>
    </row>
    <row r="3237" spans="2:16" x14ac:dyDescent="0.25">
      <c r="B3237" s="336" t="s">
        <v>416</v>
      </c>
      <c r="C3237" s="337">
        <v>39296</v>
      </c>
      <c r="D3237" s="338" t="s">
        <v>3585</v>
      </c>
      <c r="E3237" s="336" t="s">
        <v>1168</v>
      </c>
      <c r="F3237" s="338"/>
      <c r="G3237" s="338" t="s">
        <v>413</v>
      </c>
      <c r="H3237" s="338" t="s">
        <v>425</v>
      </c>
      <c r="I3237" s="338" t="s">
        <v>411</v>
      </c>
      <c r="J3237" s="339"/>
      <c r="K3237" s="339"/>
      <c r="L3237" s="339" t="s">
        <v>409</v>
      </c>
      <c r="M3237" s="339" t="s">
        <v>409</v>
      </c>
      <c r="N3237" s="338" t="s">
        <v>432</v>
      </c>
      <c r="O3237" s="338" t="s">
        <v>409</v>
      </c>
      <c r="P3237" s="338" t="s">
        <v>443</v>
      </c>
    </row>
    <row r="3238" spans="2:16" x14ac:dyDescent="0.25">
      <c r="B3238" s="336" t="s">
        <v>459</v>
      </c>
      <c r="C3238" s="337">
        <v>39295</v>
      </c>
      <c r="D3238" s="338" t="s">
        <v>3584</v>
      </c>
      <c r="E3238" s="336" t="s">
        <v>1107</v>
      </c>
      <c r="F3238" s="338"/>
      <c r="G3238" s="338">
        <v>110</v>
      </c>
      <c r="H3238" s="338" t="s">
        <v>425</v>
      </c>
      <c r="I3238" s="338" t="s">
        <v>411</v>
      </c>
      <c r="J3238" s="339"/>
      <c r="K3238" s="339"/>
      <c r="L3238" s="339" t="s">
        <v>409</v>
      </c>
      <c r="M3238" s="339" t="s">
        <v>409</v>
      </c>
      <c r="N3238" s="338" t="s">
        <v>410</v>
      </c>
      <c r="O3238" s="338" t="s">
        <v>409</v>
      </c>
      <c r="P3238" s="338" t="s">
        <v>417</v>
      </c>
    </row>
    <row r="3239" spans="2:16" x14ac:dyDescent="0.25">
      <c r="B3239" s="336" t="s">
        <v>416</v>
      </c>
      <c r="C3239" s="337">
        <v>39295</v>
      </c>
      <c r="D3239" s="338" t="s">
        <v>3583</v>
      </c>
      <c r="E3239" s="336" t="s">
        <v>3582</v>
      </c>
      <c r="F3239" s="338"/>
      <c r="G3239" s="338">
        <v>6.85</v>
      </c>
      <c r="H3239" s="338" t="s">
        <v>425</v>
      </c>
      <c r="I3239" s="338" t="s">
        <v>411</v>
      </c>
      <c r="J3239" s="339"/>
      <c r="K3239" s="339"/>
      <c r="L3239" s="339" t="s">
        <v>409</v>
      </c>
      <c r="M3239" s="339" t="s">
        <v>409</v>
      </c>
      <c r="N3239" s="338"/>
      <c r="O3239" s="338" t="s">
        <v>409</v>
      </c>
      <c r="P3239" s="338" t="s">
        <v>410</v>
      </c>
    </row>
    <row r="3240" spans="2:16" x14ac:dyDescent="0.25">
      <c r="B3240" s="336" t="s">
        <v>416</v>
      </c>
      <c r="C3240" s="337">
        <v>39295</v>
      </c>
      <c r="D3240" s="338" t="s">
        <v>3581</v>
      </c>
      <c r="E3240" s="336" t="s">
        <v>1529</v>
      </c>
      <c r="F3240" s="338" t="s">
        <v>3580</v>
      </c>
      <c r="G3240" s="338" t="s">
        <v>413</v>
      </c>
      <c r="H3240" s="338" t="s">
        <v>425</v>
      </c>
      <c r="I3240" s="338" t="s">
        <v>411</v>
      </c>
      <c r="J3240" s="339"/>
      <c r="K3240" s="339"/>
      <c r="L3240" s="339"/>
      <c r="M3240" s="339"/>
      <c r="N3240" s="338"/>
      <c r="O3240" s="338" t="s">
        <v>410</v>
      </c>
      <c r="P3240" s="338" t="s">
        <v>410</v>
      </c>
    </row>
    <row r="3241" spans="2:16" x14ac:dyDescent="0.25">
      <c r="B3241" s="336" t="s">
        <v>416</v>
      </c>
      <c r="C3241" s="337">
        <v>39295</v>
      </c>
      <c r="D3241" s="338" t="s">
        <v>3579</v>
      </c>
      <c r="E3241" s="336" t="s">
        <v>3578</v>
      </c>
      <c r="F3241" s="338"/>
      <c r="G3241" s="338" t="s">
        <v>413</v>
      </c>
      <c r="H3241" s="338" t="s">
        <v>412</v>
      </c>
      <c r="I3241" s="338" t="s">
        <v>411</v>
      </c>
      <c r="J3241" s="339"/>
      <c r="K3241" s="339"/>
      <c r="L3241" s="339" t="s">
        <v>409</v>
      </c>
      <c r="M3241" s="339" t="s">
        <v>409</v>
      </c>
      <c r="N3241" s="338" t="s">
        <v>417</v>
      </c>
      <c r="O3241" s="338" t="s">
        <v>409</v>
      </c>
      <c r="P3241" s="338" t="s">
        <v>417</v>
      </c>
    </row>
    <row r="3242" spans="2:16" x14ac:dyDescent="0.25">
      <c r="B3242" s="336" t="s">
        <v>416</v>
      </c>
      <c r="C3242" s="337">
        <v>39295</v>
      </c>
      <c r="D3242" s="338" t="s">
        <v>3577</v>
      </c>
      <c r="E3242" s="336" t="s">
        <v>3093</v>
      </c>
      <c r="F3242" s="338"/>
      <c r="G3242" s="338">
        <v>2.4</v>
      </c>
      <c r="H3242" s="338" t="s">
        <v>336</v>
      </c>
      <c r="I3242" s="338" t="s">
        <v>411</v>
      </c>
      <c r="J3242" s="339"/>
      <c r="K3242" s="339"/>
      <c r="L3242" s="339" t="s">
        <v>409</v>
      </c>
      <c r="M3242" s="339" t="s">
        <v>409</v>
      </c>
      <c r="N3242" s="338" t="s">
        <v>417</v>
      </c>
      <c r="O3242" s="338" t="s">
        <v>409</v>
      </c>
      <c r="P3242" s="338" t="s">
        <v>417</v>
      </c>
    </row>
    <row r="3243" spans="2:16" x14ac:dyDescent="0.25">
      <c r="B3243" s="336" t="s">
        <v>416</v>
      </c>
      <c r="C3243" s="337">
        <v>39295</v>
      </c>
      <c r="D3243" s="338" t="s">
        <v>3576</v>
      </c>
      <c r="E3243" s="336" t="s">
        <v>3575</v>
      </c>
      <c r="F3243" s="338"/>
      <c r="G3243" s="338" t="s">
        <v>413</v>
      </c>
      <c r="H3243" s="338" t="s">
        <v>425</v>
      </c>
      <c r="I3243" s="338" t="s">
        <v>411</v>
      </c>
      <c r="J3243" s="339"/>
      <c r="K3243" s="339"/>
      <c r="L3243" s="339" t="s">
        <v>409</v>
      </c>
      <c r="M3243" s="339" t="s">
        <v>409</v>
      </c>
      <c r="N3243" s="338"/>
      <c r="O3243" s="338" t="s">
        <v>409</v>
      </c>
      <c r="P3243" s="338" t="s">
        <v>487</v>
      </c>
    </row>
    <row r="3244" spans="2:16" x14ac:dyDescent="0.25">
      <c r="B3244" s="336" t="s">
        <v>416</v>
      </c>
      <c r="C3244" s="337">
        <v>39294</v>
      </c>
      <c r="D3244" s="338" t="s">
        <v>3574</v>
      </c>
      <c r="E3244" s="336" t="s">
        <v>3573</v>
      </c>
      <c r="F3244" s="338"/>
      <c r="G3244" s="338">
        <v>630</v>
      </c>
      <c r="H3244" s="338" t="s">
        <v>696</v>
      </c>
      <c r="I3244" s="338" t="s">
        <v>411</v>
      </c>
      <c r="J3244" s="339"/>
      <c r="K3244" s="339"/>
      <c r="L3244" s="339" t="s">
        <v>409</v>
      </c>
      <c r="M3244" s="339" t="s">
        <v>409</v>
      </c>
      <c r="N3244" s="338" t="s">
        <v>417</v>
      </c>
      <c r="O3244" s="338" t="s">
        <v>409</v>
      </c>
      <c r="P3244" s="338"/>
    </row>
    <row r="3245" spans="2:16" x14ac:dyDescent="0.25">
      <c r="B3245" s="336" t="s">
        <v>416</v>
      </c>
      <c r="C3245" s="337">
        <v>39294</v>
      </c>
      <c r="D3245" s="338" t="s">
        <v>3572</v>
      </c>
      <c r="E3245" s="336" t="s">
        <v>1115</v>
      </c>
      <c r="F3245" s="338" t="s">
        <v>3571</v>
      </c>
      <c r="G3245" s="338">
        <v>60</v>
      </c>
      <c r="H3245" s="338" t="s">
        <v>425</v>
      </c>
      <c r="I3245" s="338" t="s">
        <v>411</v>
      </c>
      <c r="J3245" s="339"/>
      <c r="K3245" s="339"/>
      <c r="L3245" s="339"/>
      <c r="M3245" s="339"/>
      <c r="N3245" s="338" t="s">
        <v>417</v>
      </c>
      <c r="O3245" s="338" t="s">
        <v>443</v>
      </c>
      <c r="P3245" s="338" t="s">
        <v>443</v>
      </c>
    </row>
    <row r="3246" spans="2:16" x14ac:dyDescent="0.25">
      <c r="B3246" s="336" t="s">
        <v>416</v>
      </c>
      <c r="C3246" s="337">
        <v>39293</v>
      </c>
      <c r="D3246" s="338" t="s">
        <v>1954</v>
      </c>
      <c r="E3246" s="336" t="s">
        <v>3570</v>
      </c>
      <c r="F3246" s="338" t="s">
        <v>1953</v>
      </c>
      <c r="G3246" s="338" t="s">
        <v>413</v>
      </c>
      <c r="H3246" s="338" t="s">
        <v>336</v>
      </c>
      <c r="I3246" s="338" t="s">
        <v>411</v>
      </c>
      <c r="J3246" s="339">
        <v>0.427784</v>
      </c>
      <c r="K3246" s="339"/>
      <c r="L3246" s="339"/>
      <c r="M3246" s="339"/>
      <c r="N3246" s="338" t="s">
        <v>417</v>
      </c>
      <c r="O3246" s="338"/>
      <c r="P3246" s="338" t="s">
        <v>417</v>
      </c>
    </row>
    <row r="3247" spans="2:16" x14ac:dyDescent="0.25">
      <c r="B3247" s="336" t="s">
        <v>416</v>
      </c>
      <c r="C3247" s="337">
        <v>39293</v>
      </c>
      <c r="D3247" s="338" t="s">
        <v>3569</v>
      </c>
      <c r="E3247" s="336" t="s">
        <v>3568</v>
      </c>
      <c r="F3247" s="338" t="s">
        <v>3567</v>
      </c>
      <c r="G3247" s="338" t="s">
        <v>413</v>
      </c>
      <c r="H3247" s="338" t="s">
        <v>412</v>
      </c>
      <c r="I3247" s="338" t="s">
        <v>411</v>
      </c>
      <c r="J3247" s="339"/>
      <c r="K3247" s="339"/>
      <c r="L3247" s="339"/>
      <c r="M3247" s="339"/>
      <c r="N3247" s="338" t="s">
        <v>417</v>
      </c>
      <c r="O3247" s="338" t="s">
        <v>417</v>
      </c>
      <c r="P3247" s="338" t="s">
        <v>443</v>
      </c>
    </row>
    <row r="3248" spans="2:16" x14ac:dyDescent="0.25">
      <c r="B3248" s="336" t="s">
        <v>416</v>
      </c>
      <c r="C3248" s="337">
        <v>39290</v>
      </c>
      <c r="D3248" s="338" t="s">
        <v>3566</v>
      </c>
      <c r="E3248" s="336" t="s">
        <v>3565</v>
      </c>
      <c r="F3248" s="338"/>
      <c r="G3248" s="338">
        <v>259.35000000000002</v>
      </c>
      <c r="H3248" s="338" t="s">
        <v>425</v>
      </c>
      <c r="I3248" s="338" t="s">
        <v>411</v>
      </c>
      <c r="J3248" s="339">
        <v>0.72987400000000002</v>
      </c>
      <c r="K3248" s="339">
        <v>7.1446399999999999</v>
      </c>
      <c r="L3248" s="339" t="s">
        <v>409</v>
      </c>
      <c r="M3248" s="339" t="s">
        <v>409</v>
      </c>
      <c r="N3248" s="338" t="s">
        <v>417</v>
      </c>
      <c r="O3248" s="338" t="s">
        <v>409</v>
      </c>
      <c r="P3248" s="338" t="s">
        <v>443</v>
      </c>
    </row>
    <row r="3249" spans="2:16" x14ac:dyDescent="0.25">
      <c r="B3249" s="336" t="s">
        <v>416</v>
      </c>
      <c r="C3249" s="337">
        <v>39290</v>
      </c>
      <c r="D3249" s="338" t="s">
        <v>3564</v>
      </c>
      <c r="E3249" s="336" t="s">
        <v>2669</v>
      </c>
      <c r="F3249" s="338"/>
      <c r="G3249" s="338">
        <v>5.3</v>
      </c>
      <c r="H3249" s="338" t="s">
        <v>425</v>
      </c>
      <c r="I3249" s="338" t="s">
        <v>411</v>
      </c>
      <c r="J3249" s="339"/>
      <c r="K3249" s="339"/>
      <c r="L3249" s="339" t="s">
        <v>409</v>
      </c>
      <c r="M3249" s="339" t="s">
        <v>409</v>
      </c>
      <c r="N3249" s="338" t="s">
        <v>417</v>
      </c>
      <c r="O3249" s="338" t="s">
        <v>409</v>
      </c>
      <c r="P3249" s="338" t="s">
        <v>417</v>
      </c>
    </row>
    <row r="3250" spans="2:16" x14ac:dyDescent="0.25">
      <c r="B3250" s="336" t="s">
        <v>459</v>
      </c>
      <c r="C3250" s="337">
        <v>39290</v>
      </c>
      <c r="D3250" s="338" t="s">
        <v>3563</v>
      </c>
      <c r="E3250" s="336" t="s">
        <v>1028</v>
      </c>
      <c r="F3250" s="338"/>
      <c r="G3250" s="338" t="s">
        <v>413</v>
      </c>
      <c r="H3250" s="338" t="s">
        <v>412</v>
      </c>
      <c r="I3250" s="338" t="s">
        <v>411</v>
      </c>
      <c r="J3250" s="339"/>
      <c r="K3250" s="339"/>
      <c r="L3250" s="339" t="s">
        <v>409</v>
      </c>
      <c r="M3250" s="339" t="s">
        <v>409</v>
      </c>
      <c r="N3250" s="338" t="s">
        <v>417</v>
      </c>
      <c r="O3250" s="338" t="s">
        <v>409</v>
      </c>
      <c r="P3250" s="338" t="s">
        <v>417</v>
      </c>
    </row>
    <row r="3251" spans="2:16" x14ac:dyDescent="0.25">
      <c r="B3251" s="336" t="s">
        <v>459</v>
      </c>
      <c r="C3251" s="337">
        <v>39289</v>
      </c>
      <c r="D3251" s="338" t="s">
        <v>3562</v>
      </c>
      <c r="E3251" s="336" t="s">
        <v>1203</v>
      </c>
      <c r="F3251" s="338"/>
      <c r="G3251" s="338" t="s">
        <v>413</v>
      </c>
      <c r="H3251" s="338" t="s">
        <v>412</v>
      </c>
      <c r="I3251" s="338" t="s">
        <v>411</v>
      </c>
      <c r="J3251" s="339"/>
      <c r="K3251" s="339"/>
      <c r="L3251" s="339" t="s">
        <v>409</v>
      </c>
      <c r="M3251" s="339" t="s">
        <v>409</v>
      </c>
      <c r="N3251" s="338" t="s">
        <v>417</v>
      </c>
      <c r="O3251" s="338" t="s">
        <v>409</v>
      </c>
      <c r="P3251" s="338" t="s">
        <v>417</v>
      </c>
    </row>
    <row r="3252" spans="2:16" x14ac:dyDescent="0.25">
      <c r="B3252" s="336" t="s">
        <v>459</v>
      </c>
      <c r="C3252" s="337">
        <v>39288</v>
      </c>
      <c r="D3252" s="338" t="s">
        <v>3561</v>
      </c>
      <c r="E3252" s="336" t="s">
        <v>514</v>
      </c>
      <c r="F3252" s="338"/>
      <c r="G3252" s="338" t="s">
        <v>413</v>
      </c>
      <c r="H3252" s="338" t="s">
        <v>412</v>
      </c>
      <c r="I3252" s="338" t="s">
        <v>411</v>
      </c>
      <c r="J3252" s="339"/>
      <c r="K3252" s="339"/>
      <c r="L3252" s="339" t="s">
        <v>409</v>
      </c>
      <c r="M3252" s="339" t="s">
        <v>409</v>
      </c>
      <c r="N3252" s="338" t="s">
        <v>417</v>
      </c>
      <c r="O3252" s="338" t="s">
        <v>409</v>
      </c>
      <c r="P3252" s="338"/>
    </row>
    <row r="3253" spans="2:16" x14ac:dyDescent="0.25">
      <c r="B3253" s="336" t="s">
        <v>416</v>
      </c>
      <c r="C3253" s="337">
        <v>39287</v>
      </c>
      <c r="D3253" s="338" t="s">
        <v>3560</v>
      </c>
      <c r="E3253" s="336" t="s">
        <v>3074</v>
      </c>
      <c r="F3253" s="338"/>
      <c r="G3253" s="338" t="s">
        <v>413</v>
      </c>
      <c r="H3253" s="338" t="s">
        <v>412</v>
      </c>
      <c r="I3253" s="338" t="s">
        <v>411</v>
      </c>
      <c r="J3253" s="339"/>
      <c r="K3253" s="339"/>
      <c r="L3253" s="339" t="s">
        <v>409</v>
      </c>
      <c r="M3253" s="339" t="s">
        <v>409</v>
      </c>
      <c r="N3253" s="338" t="s">
        <v>417</v>
      </c>
      <c r="O3253" s="338" t="s">
        <v>409</v>
      </c>
      <c r="P3253" s="338" t="s">
        <v>417</v>
      </c>
    </row>
    <row r="3254" spans="2:16" x14ac:dyDescent="0.25">
      <c r="B3254" s="336" t="s">
        <v>416</v>
      </c>
      <c r="C3254" s="337">
        <v>39287</v>
      </c>
      <c r="D3254" s="338" t="s">
        <v>3559</v>
      </c>
      <c r="E3254" s="336" t="s">
        <v>3558</v>
      </c>
      <c r="F3254" s="338"/>
      <c r="G3254" s="338">
        <v>0.75</v>
      </c>
      <c r="H3254" s="338" t="s">
        <v>425</v>
      </c>
      <c r="I3254" s="338" t="s">
        <v>411</v>
      </c>
      <c r="J3254" s="339"/>
      <c r="K3254" s="339"/>
      <c r="L3254" s="339" t="s">
        <v>409</v>
      </c>
      <c r="M3254" s="339" t="s">
        <v>409</v>
      </c>
      <c r="N3254" s="338" t="s">
        <v>417</v>
      </c>
      <c r="O3254" s="338" t="s">
        <v>409</v>
      </c>
      <c r="P3254" s="338" t="s">
        <v>417</v>
      </c>
    </row>
    <row r="3255" spans="2:16" x14ac:dyDescent="0.25">
      <c r="B3255" s="336" t="s">
        <v>459</v>
      </c>
      <c r="C3255" s="337">
        <v>39286</v>
      </c>
      <c r="D3255" s="338" t="s">
        <v>1162</v>
      </c>
      <c r="E3255" s="336" t="s">
        <v>3557</v>
      </c>
      <c r="F3255" s="338"/>
      <c r="G3255" s="338">
        <v>247</v>
      </c>
      <c r="H3255" s="338" t="s">
        <v>425</v>
      </c>
      <c r="I3255" s="338" t="s">
        <v>411</v>
      </c>
      <c r="J3255" s="339">
        <v>0.86355599999999999</v>
      </c>
      <c r="K3255" s="339">
        <v>11.223699999999999</v>
      </c>
      <c r="L3255" s="339" t="s">
        <v>409</v>
      </c>
      <c r="M3255" s="339" t="s">
        <v>409</v>
      </c>
      <c r="N3255" s="338" t="s">
        <v>417</v>
      </c>
      <c r="O3255" s="338" t="s">
        <v>409</v>
      </c>
      <c r="P3255" s="338" t="s">
        <v>443</v>
      </c>
    </row>
    <row r="3256" spans="2:16" x14ac:dyDescent="0.25">
      <c r="B3256" s="336" t="s">
        <v>459</v>
      </c>
      <c r="C3256" s="337">
        <v>39286</v>
      </c>
      <c r="D3256" s="338" t="s">
        <v>3556</v>
      </c>
      <c r="E3256" s="336" t="s">
        <v>3555</v>
      </c>
      <c r="F3256" s="338"/>
      <c r="G3256" s="338" t="s">
        <v>413</v>
      </c>
      <c r="H3256" s="338" t="s">
        <v>412</v>
      </c>
      <c r="I3256" s="338" t="s">
        <v>411</v>
      </c>
      <c r="J3256" s="339"/>
      <c r="K3256" s="339"/>
      <c r="L3256" s="339" t="s">
        <v>409</v>
      </c>
      <c r="M3256" s="339" t="s">
        <v>409</v>
      </c>
      <c r="N3256" s="338" t="s">
        <v>432</v>
      </c>
      <c r="O3256" s="338" t="s">
        <v>409</v>
      </c>
      <c r="P3256" s="338" t="s">
        <v>417</v>
      </c>
    </row>
    <row r="3257" spans="2:16" x14ac:dyDescent="0.25">
      <c r="B3257" s="336" t="s">
        <v>416</v>
      </c>
      <c r="C3257" s="337">
        <v>39283</v>
      </c>
      <c r="D3257" s="338" t="s">
        <v>3554</v>
      </c>
      <c r="E3257" s="336" t="s">
        <v>3526</v>
      </c>
      <c r="F3257" s="338"/>
      <c r="G3257" s="338">
        <v>6</v>
      </c>
      <c r="H3257" s="338" t="s">
        <v>425</v>
      </c>
      <c r="I3257" s="338" t="s">
        <v>411</v>
      </c>
      <c r="J3257" s="339"/>
      <c r="K3257" s="339"/>
      <c r="L3257" s="339" t="s">
        <v>409</v>
      </c>
      <c r="M3257" s="339" t="s">
        <v>409</v>
      </c>
      <c r="N3257" s="338" t="s">
        <v>417</v>
      </c>
      <c r="O3257" s="338" t="s">
        <v>409</v>
      </c>
      <c r="P3257" s="338" t="s">
        <v>443</v>
      </c>
    </row>
    <row r="3258" spans="2:16" x14ac:dyDescent="0.25">
      <c r="B3258" s="336" t="s">
        <v>416</v>
      </c>
      <c r="C3258" s="337">
        <v>39282</v>
      </c>
      <c r="D3258" s="338" t="s">
        <v>3553</v>
      </c>
      <c r="E3258" s="336" t="s">
        <v>3552</v>
      </c>
      <c r="F3258" s="338" t="s">
        <v>3551</v>
      </c>
      <c r="G3258" s="338" t="s">
        <v>413</v>
      </c>
      <c r="H3258" s="338" t="s">
        <v>425</v>
      </c>
      <c r="I3258" s="338" t="s">
        <v>411</v>
      </c>
      <c r="J3258" s="339"/>
      <c r="K3258" s="339"/>
      <c r="L3258" s="339"/>
      <c r="M3258" s="339"/>
      <c r="N3258" s="338" t="s">
        <v>417</v>
      </c>
      <c r="O3258" s="338" t="s">
        <v>443</v>
      </c>
      <c r="P3258" s="338"/>
    </row>
    <row r="3259" spans="2:16" x14ac:dyDescent="0.25">
      <c r="B3259" s="336" t="s">
        <v>459</v>
      </c>
      <c r="C3259" s="337">
        <v>39281</v>
      </c>
      <c r="D3259" s="338" t="s">
        <v>3550</v>
      </c>
      <c r="E3259" s="336" t="s">
        <v>3549</v>
      </c>
      <c r="F3259" s="338"/>
      <c r="G3259" s="338">
        <v>5</v>
      </c>
      <c r="H3259" s="338" t="s">
        <v>425</v>
      </c>
      <c r="I3259" s="338" t="s">
        <v>411</v>
      </c>
      <c r="J3259" s="339"/>
      <c r="K3259" s="339"/>
      <c r="L3259" s="339" t="s">
        <v>409</v>
      </c>
      <c r="M3259" s="339" t="s">
        <v>409</v>
      </c>
      <c r="N3259" s="338" t="s">
        <v>417</v>
      </c>
      <c r="O3259" s="338" t="s">
        <v>409</v>
      </c>
      <c r="P3259" s="338" t="s">
        <v>443</v>
      </c>
    </row>
    <row r="3260" spans="2:16" x14ac:dyDescent="0.25">
      <c r="B3260" s="336" t="s">
        <v>416</v>
      </c>
      <c r="C3260" s="337">
        <v>39280</v>
      </c>
      <c r="D3260" s="338" t="s">
        <v>3548</v>
      </c>
      <c r="E3260" s="336" t="s">
        <v>3547</v>
      </c>
      <c r="F3260" s="338"/>
      <c r="G3260" s="338" t="s">
        <v>413</v>
      </c>
      <c r="H3260" s="338" t="s">
        <v>412</v>
      </c>
      <c r="I3260" s="338" t="s">
        <v>411</v>
      </c>
      <c r="J3260" s="339"/>
      <c r="K3260" s="339"/>
      <c r="L3260" s="339" t="s">
        <v>409</v>
      </c>
      <c r="M3260" s="339" t="s">
        <v>409</v>
      </c>
      <c r="N3260" s="338" t="s">
        <v>417</v>
      </c>
      <c r="O3260" s="338" t="s">
        <v>409</v>
      </c>
      <c r="P3260" s="338" t="s">
        <v>417</v>
      </c>
    </row>
    <row r="3261" spans="2:16" x14ac:dyDescent="0.25">
      <c r="B3261" s="336" t="s">
        <v>416</v>
      </c>
      <c r="C3261" s="337">
        <v>39280</v>
      </c>
      <c r="D3261" s="338" t="s">
        <v>3546</v>
      </c>
      <c r="E3261" s="336" t="s">
        <v>3545</v>
      </c>
      <c r="F3261" s="338"/>
      <c r="G3261" s="338">
        <v>3</v>
      </c>
      <c r="H3261" s="338" t="s">
        <v>425</v>
      </c>
      <c r="I3261" s="338" t="s">
        <v>411</v>
      </c>
      <c r="J3261" s="339"/>
      <c r="K3261" s="339"/>
      <c r="L3261" s="339" t="s">
        <v>409</v>
      </c>
      <c r="M3261" s="339" t="s">
        <v>409</v>
      </c>
      <c r="N3261" s="338"/>
      <c r="O3261" s="338" t="s">
        <v>409</v>
      </c>
      <c r="P3261" s="338" t="s">
        <v>410</v>
      </c>
    </row>
    <row r="3262" spans="2:16" x14ac:dyDescent="0.25">
      <c r="B3262" s="336" t="s">
        <v>416</v>
      </c>
      <c r="C3262" s="337">
        <v>39280</v>
      </c>
      <c r="D3262" s="338" t="s">
        <v>3544</v>
      </c>
      <c r="E3262" s="336" t="s">
        <v>3543</v>
      </c>
      <c r="F3262" s="338"/>
      <c r="G3262" s="338" t="s">
        <v>413</v>
      </c>
      <c r="H3262" s="338" t="s">
        <v>412</v>
      </c>
      <c r="I3262" s="338" t="s">
        <v>411</v>
      </c>
      <c r="J3262" s="339"/>
      <c r="K3262" s="339"/>
      <c r="L3262" s="339" t="s">
        <v>409</v>
      </c>
      <c r="M3262" s="339" t="s">
        <v>409</v>
      </c>
      <c r="N3262" s="338" t="s">
        <v>417</v>
      </c>
      <c r="O3262" s="338" t="s">
        <v>409</v>
      </c>
      <c r="P3262" s="338" t="s">
        <v>417</v>
      </c>
    </row>
    <row r="3263" spans="2:16" x14ac:dyDescent="0.25">
      <c r="B3263" s="336" t="s">
        <v>416</v>
      </c>
      <c r="C3263" s="337">
        <v>39279</v>
      </c>
      <c r="D3263" s="338" t="s">
        <v>3542</v>
      </c>
      <c r="E3263" s="336" t="s">
        <v>3189</v>
      </c>
      <c r="F3263" s="338"/>
      <c r="G3263" s="338" t="s">
        <v>413</v>
      </c>
      <c r="H3263" s="338" t="s">
        <v>425</v>
      </c>
      <c r="I3263" s="338" t="s">
        <v>411</v>
      </c>
      <c r="J3263" s="339"/>
      <c r="K3263" s="339"/>
      <c r="L3263" s="339" t="s">
        <v>409</v>
      </c>
      <c r="M3263" s="339" t="s">
        <v>409</v>
      </c>
      <c r="N3263" s="338" t="s">
        <v>417</v>
      </c>
      <c r="O3263" s="338" t="s">
        <v>409</v>
      </c>
      <c r="P3263" s="338" t="s">
        <v>417</v>
      </c>
    </row>
    <row r="3264" spans="2:16" x14ac:dyDescent="0.25">
      <c r="B3264" s="336" t="s">
        <v>416</v>
      </c>
      <c r="C3264" s="337">
        <v>39279</v>
      </c>
      <c r="D3264" s="338" t="s">
        <v>3541</v>
      </c>
      <c r="E3264" s="336" t="s">
        <v>3540</v>
      </c>
      <c r="F3264" s="338" t="s">
        <v>2890</v>
      </c>
      <c r="G3264" s="338">
        <v>123.1</v>
      </c>
      <c r="H3264" s="338" t="s">
        <v>418</v>
      </c>
      <c r="I3264" s="338" t="s">
        <v>411</v>
      </c>
      <c r="J3264" s="339"/>
      <c r="K3264" s="339"/>
      <c r="L3264" s="339">
        <v>2.09585</v>
      </c>
      <c r="M3264" s="339"/>
      <c r="N3264" s="338" t="s">
        <v>417</v>
      </c>
      <c r="O3264" s="338" t="s">
        <v>417</v>
      </c>
      <c r="P3264" s="338" t="s">
        <v>443</v>
      </c>
    </row>
    <row r="3265" spans="2:16" x14ac:dyDescent="0.25">
      <c r="B3265" s="336" t="s">
        <v>416</v>
      </c>
      <c r="C3265" s="337">
        <v>39279</v>
      </c>
      <c r="D3265" s="338" t="s">
        <v>1093</v>
      </c>
      <c r="E3265" s="336" t="s">
        <v>3494</v>
      </c>
      <c r="F3265" s="338"/>
      <c r="G3265" s="338">
        <v>2067.3000000000002</v>
      </c>
      <c r="H3265" s="338" t="s">
        <v>425</v>
      </c>
      <c r="I3265" s="338" t="s">
        <v>411</v>
      </c>
      <c r="J3265" s="339">
        <v>1.47793</v>
      </c>
      <c r="K3265" s="339">
        <v>9.6267800000000001</v>
      </c>
      <c r="L3265" s="339" t="s">
        <v>409</v>
      </c>
      <c r="M3265" s="339" t="s">
        <v>409</v>
      </c>
      <c r="N3265" s="338" t="s">
        <v>417</v>
      </c>
      <c r="O3265" s="338" t="s">
        <v>409</v>
      </c>
      <c r="P3265" s="338" t="s">
        <v>417</v>
      </c>
    </row>
    <row r="3266" spans="2:16" x14ac:dyDescent="0.25">
      <c r="B3266" s="336" t="s">
        <v>416</v>
      </c>
      <c r="C3266" s="337">
        <v>39276</v>
      </c>
      <c r="D3266" s="338" t="s">
        <v>3539</v>
      </c>
      <c r="E3266" s="336" t="s">
        <v>2243</v>
      </c>
      <c r="F3266" s="338" t="s">
        <v>3538</v>
      </c>
      <c r="G3266" s="338">
        <v>9</v>
      </c>
      <c r="H3266" s="338" t="s">
        <v>425</v>
      </c>
      <c r="I3266" s="338" t="s">
        <v>411</v>
      </c>
      <c r="J3266" s="339"/>
      <c r="K3266" s="339"/>
      <c r="L3266" s="339">
        <v>0.124821</v>
      </c>
      <c r="M3266" s="339">
        <v>2.87012</v>
      </c>
      <c r="N3266" s="338"/>
      <c r="O3266" s="338" t="s">
        <v>417</v>
      </c>
      <c r="P3266" s="338" t="s">
        <v>443</v>
      </c>
    </row>
    <row r="3267" spans="2:16" x14ac:dyDescent="0.25">
      <c r="B3267" s="336" t="s">
        <v>416</v>
      </c>
      <c r="C3267" s="337">
        <v>39276</v>
      </c>
      <c r="D3267" s="338" t="s">
        <v>3537</v>
      </c>
      <c r="E3267" s="336" t="s">
        <v>3536</v>
      </c>
      <c r="F3267" s="338" t="s">
        <v>3535</v>
      </c>
      <c r="G3267" s="338">
        <v>13.3</v>
      </c>
      <c r="H3267" s="338" t="s">
        <v>425</v>
      </c>
      <c r="I3267" s="338" t="s">
        <v>411</v>
      </c>
      <c r="J3267" s="339"/>
      <c r="K3267" s="339"/>
      <c r="L3267" s="339"/>
      <c r="M3267" s="339"/>
      <c r="N3267" s="338" t="s">
        <v>417</v>
      </c>
      <c r="O3267" s="338"/>
      <c r="P3267" s="338" t="s">
        <v>417</v>
      </c>
    </row>
    <row r="3268" spans="2:16" x14ac:dyDescent="0.25">
      <c r="B3268" s="336" t="s">
        <v>416</v>
      </c>
      <c r="C3268" s="337">
        <v>39276</v>
      </c>
      <c r="D3268" s="338" t="s">
        <v>3534</v>
      </c>
      <c r="E3268" s="336" t="s">
        <v>3533</v>
      </c>
      <c r="F3268" s="338"/>
      <c r="G3268" s="338" t="s">
        <v>413</v>
      </c>
      <c r="H3268" s="338" t="s">
        <v>412</v>
      </c>
      <c r="I3268" s="338" t="s">
        <v>411</v>
      </c>
      <c r="J3268" s="339"/>
      <c r="K3268" s="339"/>
      <c r="L3268" s="339" t="s">
        <v>409</v>
      </c>
      <c r="M3268" s="339" t="s">
        <v>409</v>
      </c>
      <c r="N3268" s="338" t="s">
        <v>417</v>
      </c>
      <c r="O3268" s="338" t="s">
        <v>409</v>
      </c>
      <c r="P3268" s="338" t="s">
        <v>605</v>
      </c>
    </row>
    <row r="3269" spans="2:16" x14ac:dyDescent="0.25">
      <c r="B3269" s="336" t="s">
        <v>416</v>
      </c>
      <c r="C3269" s="337">
        <v>39276</v>
      </c>
      <c r="D3269" s="338" t="s">
        <v>956</v>
      </c>
      <c r="E3269" s="336" t="s">
        <v>3532</v>
      </c>
      <c r="F3269" s="338" t="s">
        <v>3531</v>
      </c>
      <c r="G3269" s="338" t="s">
        <v>413</v>
      </c>
      <c r="H3269" s="338" t="s">
        <v>425</v>
      </c>
      <c r="I3269" s="338" t="s">
        <v>411</v>
      </c>
      <c r="J3269" s="339"/>
      <c r="K3269" s="339"/>
      <c r="L3269" s="339"/>
      <c r="M3269" s="339"/>
      <c r="N3269" s="338"/>
      <c r="O3269" s="338" t="s">
        <v>417</v>
      </c>
      <c r="P3269" s="338" t="s">
        <v>417</v>
      </c>
    </row>
    <row r="3270" spans="2:16" x14ac:dyDescent="0.25">
      <c r="B3270" s="336" t="s">
        <v>416</v>
      </c>
      <c r="C3270" s="337">
        <v>39276</v>
      </c>
      <c r="D3270" s="338" t="s">
        <v>3530</v>
      </c>
      <c r="E3270" s="336" t="s">
        <v>3529</v>
      </c>
      <c r="F3270" s="338" t="s">
        <v>3528</v>
      </c>
      <c r="G3270" s="338">
        <v>1.5</v>
      </c>
      <c r="H3270" s="338" t="s">
        <v>425</v>
      </c>
      <c r="I3270" s="338" t="s">
        <v>411</v>
      </c>
      <c r="J3270" s="339"/>
      <c r="K3270" s="339"/>
      <c r="L3270" s="339"/>
      <c r="M3270" s="339"/>
      <c r="N3270" s="338" t="s">
        <v>417</v>
      </c>
      <c r="O3270" s="338" t="s">
        <v>417</v>
      </c>
      <c r="P3270" s="338" t="s">
        <v>487</v>
      </c>
    </row>
    <row r="3271" spans="2:16" x14ac:dyDescent="0.25">
      <c r="B3271" s="336" t="s">
        <v>416</v>
      </c>
      <c r="C3271" s="337">
        <v>39276</v>
      </c>
      <c r="D3271" s="338" t="s">
        <v>3527</v>
      </c>
      <c r="E3271" s="336" t="s">
        <v>3526</v>
      </c>
      <c r="F3271" s="338"/>
      <c r="G3271" s="338">
        <v>0.17</v>
      </c>
      <c r="H3271" s="338" t="s">
        <v>780</v>
      </c>
      <c r="I3271" s="338" t="s">
        <v>411</v>
      </c>
      <c r="J3271" s="339"/>
      <c r="K3271" s="339"/>
      <c r="L3271" s="339" t="s">
        <v>409</v>
      </c>
      <c r="M3271" s="339" t="s">
        <v>409</v>
      </c>
      <c r="N3271" s="338" t="s">
        <v>417</v>
      </c>
      <c r="O3271" s="338" t="s">
        <v>409</v>
      </c>
      <c r="P3271" s="338" t="s">
        <v>443</v>
      </c>
    </row>
    <row r="3272" spans="2:16" x14ac:dyDescent="0.25">
      <c r="B3272" s="336" t="s">
        <v>416</v>
      </c>
      <c r="C3272" s="337">
        <v>39275</v>
      </c>
      <c r="D3272" s="338" t="s">
        <v>3525</v>
      </c>
      <c r="E3272" s="336" t="s">
        <v>3524</v>
      </c>
      <c r="F3272" s="338"/>
      <c r="G3272" s="338" t="s">
        <v>413</v>
      </c>
      <c r="H3272" s="338" t="s">
        <v>412</v>
      </c>
      <c r="I3272" s="338" t="s">
        <v>411</v>
      </c>
      <c r="J3272" s="339"/>
      <c r="K3272" s="339"/>
      <c r="L3272" s="339" t="s">
        <v>409</v>
      </c>
      <c r="M3272" s="339" t="s">
        <v>409</v>
      </c>
      <c r="N3272" s="338" t="s">
        <v>417</v>
      </c>
      <c r="O3272" s="338" t="s">
        <v>409</v>
      </c>
      <c r="P3272" s="338" t="s">
        <v>605</v>
      </c>
    </row>
    <row r="3273" spans="2:16" x14ac:dyDescent="0.25">
      <c r="B3273" s="336" t="s">
        <v>416</v>
      </c>
      <c r="C3273" s="337">
        <v>39275</v>
      </c>
      <c r="D3273" s="338" t="s">
        <v>3523</v>
      </c>
      <c r="E3273" s="336" t="s">
        <v>3522</v>
      </c>
      <c r="F3273" s="338" t="s">
        <v>3521</v>
      </c>
      <c r="G3273" s="338" t="s">
        <v>413</v>
      </c>
      <c r="H3273" s="338" t="s">
        <v>425</v>
      </c>
      <c r="I3273" s="338" t="s">
        <v>411</v>
      </c>
      <c r="J3273" s="339"/>
      <c r="K3273" s="339"/>
      <c r="L3273" s="339"/>
      <c r="M3273" s="339"/>
      <c r="N3273" s="338"/>
      <c r="O3273" s="338" t="s">
        <v>885</v>
      </c>
      <c r="P3273" s="338" t="s">
        <v>443</v>
      </c>
    </row>
    <row r="3274" spans="2:16" x14ac:dyDescent="0.25">
      <c r="B3274" s="336" t="s">
        <v>416</v>
      </c>
      <c r="C3274" s="337">
        <v>39275</v>
      </c>
      <c r="D3274" s="338" t="s">
        <v>3520</v>
      </c>
      <c r="E3274" s="336" t="s">
        <v>580</v>
      </c>
      <c r="F3274" s="338" t="s">
        <v>953</v>
      </c>
      <c r="G3274" s="338">
        <v>23.4</v>
      </c>
      <c r="H3274" s="338" t="s">
        <v>425</v>
      </c>
      <c r="I3274" s="338" t="s">
        <v>411</v>
      </c>
      <c r="J3274" s="339"/>
      <c r="K3274" s="339"/>
      <c r="L3274" s="339">
        <v>0.56808199999999998</v>
      </c>
      <c r="M3274" s="339"/>
      <c r="N3274" s="338"/>
      <c r="O3274" s="338" t="s">
        <v>417</v>
      </c>
      <c r="P3274" s="338" t="s">
        <v>417</v>
      </c>
    </row>
    <row r="3275" spans="2:16" x14ac:dyDescent="0.25">
      <c r="B3275" s="336" t="s">
        <v>416</v>
      </c>
      <c r="C3275" s="337">
        <v>39275</v>
      </c>
      <c r="D3275" s="338" t="s">
        <v>3519</v>
      </c>
      <c r="E3275" s="336" t="s">
        <v>3518</v>
      </c>
      <c r="F3275" s="338"/>
      <c r="G3275" s="338">
        <v>38</v>
      </c>
      <c r="H3275" s="338" t="s">
        <v>425</v>
      </c>
      <c r="I3275" s="338" t="s">
        <v>411</v>
      </c>
      <c r="J3275" s="339">
        <v>0.11867</v>
      </c>
      <c r="K3275" s="339"/>
      <c r="L3275" s="339" t="s">
        <v>409</v>
      </c>
      <c r="M3275" s="339" t="s">
        <v>409</v>
      </c>
      <c r="N3275" s="338" t="s">
        <v>417</v>
      </c>
      <c r="O3275" s="338" t="s">
        <v>409</v>
      </c>
      <c r="P3275" s="338" t="s">
        <v>443</v>
      </c>
    </row>
    <row r="3276" spans="2:16" x14ac:dyDescent="0.25">
      <c r="B3276" s="336" t="s">
        <v>416</v>
      </c>
      <c r="C3276" s="337">
        <v>39275</v>
      </c>
      <c r="D3276" s="338" t="s">
        <v>3517</v>
      </c>
      <c r="E3276" s="336" t="s">
        <v>3327</v>
      </c>
      <c r="F3276" s="338"/>
      <c r="G3276" s="338" t="s">
        <v>413</v>
      </c>
      <c r="H3276" s="338" t="s">
        <v>412</v>
      </c>
      <c r="I3276" s="338" t="s">
        <v>411</v>
      </c>
      <c r="J3276" s="339"/>
      <c r="K3276" s="339"/>
      <c r="L3276" s="339" t="s">
        <v>409</v>
      </c>
      <c r="M3276" s="339" t="s">
        <v>409</v>
      </c>
      <c r="N3276" s="338" t="s">
        <v>417</v>
      </c>
      <c r="O3276" s="338" t="s">
        <v>409</v>
      </c>
      <c r="P3276" s="338" t="s">
        <v>543</v>
      </c>
    </row>
    <row r="3277" spans="2:16" x14ac:dyDescent="0.25">
      <c r="B3277" s="336" t="s">
        <v>416</v>
      </c>
      <c r="C3277" s="337">
        <v>39275</v>
      </c>
      <c r="D3277" s="338" t="s">
        <v>3516</v>
      </c>
      <c r="E3277" s="336" t="s">
        <v>962</v>
      </c>
      <c r="F3277" s="338"/>
      <c r="G3277" s="338">
        <v>3.09</v>
      </c>
      <c r="H3277" s="338" t="s">
        <v>780</v>
      </c>
      <c r="I3277" s="338" t="s">
        <v>411</v>
      </c>
      <c r="J3277" s="339"/>
      <c r="K3277" s="339"/>
      <c r="L3277" s="339" t="s">
        <v>409</v>
      </c>
      <c r="M3277" s="339" t="s">
        <v>409</v>
      </c>
      <c r="N3277" s="338" t="s">
        <v>410</v>
      </c>
      <c r="O3277" s="338" t="s">
        <v>409</v>
      </c>
      <c r="P3277" s="338" t="s">
        <v>417</v>
      </c>
    </row>
    <row r="3278" spans="2:16" x14ac:dyDescent="0.25">
      <c r="B3278" s="336" t="s">
        <v>416</v>
      </c>
      <c r="C3278" s="337">
        <v>39274</v>
      </c>
      <c r="D3278" s="338" t="s">
        <v>3515</v>
      </c>
      <c r="E3278" s="336" t="s">
        <v>3514</v>
      </c>
      <c r="F3278" s="338"/>
      <c r="G3278" s="338">
        <v>3.45</v>
      </c>
      <c r="H3278" s="338" t="s">
        <v>425</v>
      </c>
      <c r="I3278" s="338" t="s">
        <v>411</v>
      </c>
      <c r="J3278" s="339"/>
      <c r="K3278" s="339"/>
      <c r="L3278" s="339" t="s">
        <v>409</v>
      </c>
      <c r="M3278" s="339" t="s">
        <v>409</v>
      </c>
      <c r="N3278" s="338" t="s">
        <v>417</v>
      </c>
      <c r="O3278" s="338" t="s">
        <v>409</v>
      </c>
      <c r="P3278" s="338" t="s">
        <v>410</v>
      </c>
    </row>
    <row r="3279" spans="2:16" x14ac:dyDescent="0.25">
      <c r="B3279" s="336" t="s">
        <v>416</v>
      </c>
      <c r="C3279" s="337">
        <v>39274</v>
      </c>
      <c r="D3279" s="338" t="s">
        <v>3513</v>
      </c>
      <c r="E3279" s="336" t="s">
        <v>2265</v>
      </c>
      <c r="F3279" s="338"/>
      <c r="G3279" s="338">
        <v>36.32</v>
      </c>
      <c r="H3279" s="338" t="s">
        <v>336</v>
      </c>
      <c r="I3279" s="338" t="s">
        <v>411</v>
      </c>
      <c r="J3279" s="339"/>
      <c r="K3279" s="339"/>
      <c r="L3279" s="339" t="s">
        <v>409</v>
      </c>
      <c r="M3279" s="339" t="s">
        <v>409</v>
      </c>
      <c r="N3279" s="338" t="s">
        <v>417</v>
      </c>
      <c r="O3279" s="338" t="s">
        <v>409</v>
      </c>
      <c r="P3279" s="338" t="s">
        <v>417</v>
      </c>
    </row>
    <row r="3280" spans="2:16" x14ac:dyDescent="0.25">
      <c r="B3280" s="336" t="s">
        <v>416</v>
      </c>
      <c r="C3280" s="337">
        <v>39274</v>
      </c>
      <c r="D3280" s="338" t="s">
        <v>3512</v>
      </c>
      <c r="E3280" s="336" t="s">
        <v>1217</v>
      </c>
      <c r="F3280" s="338"/>
      <c r="G3280" s="338" t="s">
        <v>413</v>
      </c>
      <c r="H3280" s="338" t="s">
        <v>412</v>
      </c>
      <c r="I3280" s="338" t="s">
        <v>411</v>
      </c>
      <c r="J3280" s="339"/>
      <c r="K3280" s="339"/>
      <c r="L3280" s="339" t="s">
        <v>409</v>
      </c>
      <c r="M3280" s="339" t="s">
        <v>409</v>
      </c>
      <c r="N3280" s="338" t="s">
        <v>417</v>
      </c>
      <c r="O3280" s="338" t="s">
        <v>409</v>
      </c>
      <c r="P3280" s="338" t="s">
        <v>410</v>
      </c>
    </row>
    <row r="3281" spans="2:16" x14ac:dyDescent="0.25">
      <c r="B3281" s="336" t="s">
        <v>416</v>
      </c>
      <c r="C3281" s="337">
        <v>39274</v>
      </c>
      <c r="D3281" s="338" t="s">
        <v>3511</v>
      </c>
      <c r="E3281" s="336" t="s">
        <v>3510</v>
      </c>
      <c r="F3281" s="338" t="s">
        <v>3509</v>
      </c>
      <c r="G3281" s="338" t="s">
        <v>413</v>
      </c>
      <c r="H3281" s="338" t="s">
        <v>425</v>
      </c>
      <c r="I3281" s="338" t="s">
        <v>411</v>
      </c>
      <c r="J3281" s="339"/>
      <c r="K3281" s="339"/>
      <c r="L3281" s="339"/>
      <c r="M3281" s="339"/>
      <c r="N3281" s="338"/>
      <c r="O3281" s="338" t="s">
        <v>408</v>
      </c>
      <c r="P3281" s="338" t="s">
        <v>443</v>
      </c>
    </row>
    <row r="3282" spans="2:16" x14ac:dyDescent="0.25">
      <c r="B3282" s="336" t="s">
        <v>416</v>
      </c>
      <c r="C3282" s="337">
        <v>39273</v>
      </c>
      <c r="D3282" s="338" t="s">
        <v>3508</v>
      </c>
      <c r="E3282" s="336" t="s">
        <v>3507</v>
      </c>
      <c r="F3282" s="338" t="s">
        <v>3506</v>
      </c>
      <c r="G3282" s="338" t="s">
        <v>413</v>
      </c>
      <c r="H3282" s="338" t="s">
        <v>412</v>
      </c>
      <c r="I3282" s="338" t="s">
        <v>411</v>
      </c>
      <c r="J3282" s="339"/>
      <c r="K3282" s="339"/>
      <c r="L3282" s="339"/>
      <c r="M3282" s="339"/>
      <c r="N3282" s="338" t="s">
        <v>432</v>
      </c>
      <c r="O3282" s="338" t="s">
        <v>432</v>
      </c>
      <c r="P3282" s="338" t="s">
        <v>432</v>
      </c>
    </row>
    <row r="3283" spans="2:16" x14ac:dyDescent="0.25">
      <c r="B3283" s="336" t="s">
        <v>416</v>
      </c>
      <c r="C3283" s="337">
        <v>39273</v>
      </c>
      <c r="D3283" s="338" t="s">
        <v>3505</v>
      </c>
      <c r="E3283" s="336" t="s">
        <v>653</v>
      </c>
      <c r="F3283" s="338"/>
      <c r="G3283" s="338">
        <v>8.84</v>
      </c>
      <c r="H3283" s="338" t="s">
        <v>425</v>
      </c>
      <c r="I3283" s="338" t="s">
        <v>411</v>
      </c>
      <c r="J3283" s="339"/>
      <c r="K3283" s="339"/>
      <c r="L3283" s="339" t="s">
        <v>409</v>
      </c>
      <c r="M3283" s="339" t="s">
        <v>409</v>
      </c>
      <c r="N3283" s="338"/>
      <c r="O3283" s="338" t="s">
        <v>409</v>
      </c>
      <c r="P3283" s="338" t="s">
        <v>417</v>
      </c>
    </row>
    <row r="3284" spans="2:16" x14ac:dyDescent="0.25">
      <c r="B3284" s="336" t="s">
        <v>416</v>
      </c>
      <c r="C3284" s="337">
        <v>39273</v>
      </c>
      <c r="D3284" s="338" t="s">
        <v>3504</v>
      </c>
      <c r="E3284" s="336" t="s">
        <v>3503</v>
      </c>
      <c r="F3284" s="338"/>
      <c r="G3284" s="338">
        <v>135</v>
      </c>
      <c r="H3284" s="338" t="s">
        <v>418</v>
      </c>
      <c r="I3284" s="338" t="s">
        <v>411</v>
      </c>
      <c r="J3284" s="339"/>
      <c r="K3284" s="339"/>
      <c r="L3284" s="339" t="s">
        <v>409</v>
      </c>
      <c r="M3284" s="339" t="s">
        <v>409</v>
      </c>
      <c r="N3284" s="338" t="s">
        <v>410</v>
      </c>
      <c r="O3284" s="338" t="s">
        <v>409</v>
      </c>
      <c r="P3284" s="338" t="s">
        <v>410</v>
      </c>
    </row>
    <row r="3285" spans="2:16" x14ac:dyDescent="0.25">
      <c r="B3285" s="336" t="s">
        <v>416</v>
      </c>
      <c r="C3285" s="337">
        <v>39273</v>
      </c>
      <c r="D3285" s="338" t="s">
        <v>3502</v>
      </c>
      <c r="E3285" s="336" t="s">
        <v>3501</v>
      </c>
      <c r="F3285" s="338"/>
      <c r="G3285" s="338" t="s">
        <v>413</v>
      </c>
      <c r="H3285" s="338" t="s">
        <v>412</v>
      </c>
      <c r="I3285" s="338" t="s">
        <v>411</v>
      </c>
      <c r="J3285" s="339"/>
      <c r="K3285" s="339"/>
      <c r="L3285" s="339" t="s">
        <v>409</v>
      </c>
      <c r="M3285" s="339" t="s">
        <v>409</v>
      </c>
      <c r="N3285" s="338" t="s">
        <v>417</v>
      </c>
      <c r="O3285" s="338" t="s">
        <v>409</v>
      </c>
      <c r="P3285" s="338" t="s">
        <v>443</v>
      </c>
    </row>
    <row r="3286" spans="2:16" x14ac:dyDescent="0.25">
      <c r="B3286" s="336" t="s">
        <v>542</v>
      </c>
      <c r="C3286" s="337">
        <v>39273</v>
      </c>
      <c r="D3286" s="338" t="s">
        <v>831</v>
      </c>
      <c r="E3286" s="336" t="s">
        <v>539</v>
      </c>
      <c r="F3286" s="338"/>
      <c r="G3286" s="338">
        <v>1455.26</v>
      </c>
      <c r="H3286" s="338"/>
      <c r="I3286" s="338" t="s">
        <v>411</v>
      </c>
      <c r="J3286" s="339">
        <v>1.53552</v>
      </c>
      <c r="K3286" s="339">
        <v>11.0791</v>
      </c>
      <c r="L3286" s="339" t="s">
        <v>409</v>
      </c>
      <c r="M3286" s="339" t="s">
        <v>409</v>
      </c>
      <c r="N3286" s="338" t="s">
        <v>417</v>
      </c>
      <c r="O3286" s="338" t="s">
        <v>409</v>
      </c>
      <c r="P3286" s="338" t="s">
        <v>417</v>
      </c>
    </row>
    <row r="3287" spans="2:16" x14ac:dyDescent="0.25">
      <c r="B3287" s="336" t="s">
        <v>416</v>
      </c>
      <c r="C3287" s="337">
        <v>39272</v>
      </c>
      <c r="D3287" s="338" t="s">
        <v>3500</v>
      </c>
      <c r="E3287" s="336" t="s">
        <v>468</v>
      </c>
      <c r="F3287" s="338" t="s">
        <v>546</v>
      </c>
      <c r="G3287" s="338">
        <v>50</v>
      </c>
      <c r="H3287" s="338" t="s">
        <v>425</v>
      </c>
      <c r="I3287" s="338" t="s">
        <v>411</v>
      </c>
      <c r="J3287" s="339"/>
      <c r="K3287" s="339"/>
      <c r="L3287" s="339">
        <v>1.7353000000000001</v>
      </c>
      <c r="M3287" s="339">
        <v>8.6933699999999998</v>
      </c>
      <c r="N3287" s="338" t="s">
        <v>417</v>
      </c>
      <c r="O3287" s="338" t="s">
        <v>417</v>
      </c>
      <c r="P3287" s="338" t="s">
        <v>443</v>
      </c>
    </row>
    <row r="3288" spans="2:16" x14ac:dyDescent="0.25">
      <c r="B3288" s="336" t="s">
        <v>416</v>
      </c>
      <c r="C3288" s="337">
        <v>39272</v>
      </c>
      <c r="D3288" s="338" t="s">
        <v>3499</v>
      </c>
      <c r="E3288" s="336" t="s">
        <v>423</v>
      </c>
      <c r="F3288" s="338"/>
      <c r="G3288" s="338" t="s">
        <v>413</v>
      </c>
      <c r="H3288" s="338" t="s">
        <v>412</v>
      </c>
      <c r="I3288" s="338" t="s">
        <v>411</v>
      </c>
      <c r="J3288" s="339"/>
      <c r="K3288" s="339"/>
      <c r="L3288" s="339" t="s">
        <v>409</v>
      </c>
      <c r="M3288" s="339" t="s">
        <v>409</v>
      </c>
      <c r="N3288" s="338" t="s">
        <v>417</v>
      </c>
      <c r="O3288" s="338" t="s">
        <v>409</v>
      </c>
      <c r="P3288" s="338"/>
    </row>
    <row r="3289" spans="2:16" x14ac:dyDescent="0.25">
      <c r="B3289" s="336" t="s">
        <v>416</v>
      </c>
      <c r="C3289" s="337">
        <v>39272</v>
      </c>
      <c r="D3289" s="338" t="s">
        <v>3498</v>
      </c>
      <c r="E3289" s="336" t="s">
        <v>3497</v>
      </c>
      <c r="F3289" s="338"/>
      <c r="G3289" s="338" t="s">
        <v>413</v>
      </c>
      <c r="H3289" s="338" t="s">
        <v>425</v>
      </c>
      <c r="I3289" s="338" t="s">
        <v>411</v>
      </c>
      <c r="J3289" s="339"/>
      <c r="K3289" s="339"/>
      <c r="L3289" s="339" t="s">
        <v>409</v>
      </c>
      <c r="M3289" s="339" t="s">
        <v>409</v>
      </c>
      <c r="N3289" s="338"/>
      <c r="O3289" s="338" t="s">
        <v>409</v>
      </c>
      <c r="P3289" s="338" t="s">
        <v>408</v>
      </c>
    </row>
    <row r="3290" spans="2:16" x14ac:dyDescent="0.25">
      <c r="B3290" s="336" t="s">
        <v>416</v>
      </c>
      <c r="C3290" s="337">
        <v>39272</v>
      </c>
      <c r="D3290" s="338" t="s">
        <v>3496</v>
      </c>
      <c r="E3290" s="336" t="s">
        <v>2145</v>
      </c>
      <c r="F3290" s="338"/>
      <c r="G3290" s="338" t="s">
        <v>413</v>
      </c>
      <c r="H3290" s="338" t="s">
        <v>412</v>
      </c>
      <c r="I3290" s="338" t="s">
        <v>411</v>
      </c>
      <c r="J3290" s="339"/>
      <c r="K3290" s="339"/>
      <c r="L3290" s="339" t="s">
        <v>409</v>
      </c>
      <c r="M3290" s="339" t="s">
        <v>409</v>
      </c>
      <c r="N3290" s="338" t="s">
        <v>410</v>
      </c>
      <c r="O3290" s="338" t="s">
        <v>409</v>
      </c>
      <c r="P3290" s="338" t="s">
        <v>410</v>
      </c>
    </row>
    <row r="3291" spans="2:16" x14ac:dyDescent="0.25">
      <c r="B3291" s="336" t="s">
        <v>416</v>
      </c>
      <c r="C3291" s="337">
        <v>39272</v>
      </c>
      <c r="D3291" s="338" t="s">
        <v>956</v>
      </c>
      <c r="E3291" s="336" t="s">
        <v>3495</v>
      </c>
      <c r="F3291" s="338" t="s">
        <v>3494</v>
      </c>
      <c r="G3291" s="338" t="s">
        <v>413</v>
      </c>
      <c r="H3291" s="338" t="s">
        <v>425</v>
      </c>
      <c r="I3291" s="338" t="s">
        <v>411</v>
      </c>
      <c r="J3291" s="339"/>
      <c r="K3291" s="339"/>
      <c r="L3291" s="339">
        <v>4.4746899999999998</v>
      </c>
      <c r="M3291" s="339">
        <v>11.501300000000001</v>
      </c>
      <c r="N3291" s="338"/>
      <c r="O3291" s="338" t="s">
        <v>417</v>
      </c>
      <c r="P3291" s="338" t="s">
        <v>443</v>
      </c>
    </row>
    <row r="3292" spans="2:16" x14ac:dyDescent="0.25">
      <c r="B3292" s="336" t="s">
        <v>416</v>
      </c>
      <c r="C3292" s="337">
        <v>39272</v>
      </c>
      <c r="D3292" s="338" t="s">
        <v>3493</v>
      </c>
      <c r="E3292" s="336" t="s">
        <v>3492</v>
      </c>
      <c r="F3292" s="338"/>
      <c r="G3292" s="338" t="s">
        <v>413</v>
      </c>
      <c r="H3292" s="338" t="s">
        <v>425</v>
      </c>
      <c r="I3292" s="338" t="s">
        <v>411</v>
      </c>
      <c r="J3292" s="339"/>
      <c r="K3292" s="339"/>
      <c r="L3292" s="339" t="s">
        <v>409</v>
      </c>
      <c r="M3292" s="339" t="s">
        <v>409</v>
      </c>
      <c r="N3292" s="338" t="s">
        <v>417</v>
      </c>
      <c r="O3292" s="338" t="s">
        <v>409</v>
      </c>
      <c r="P3292" s="338" t="s">
        <v>443</v>
      </c>
    </row>
    <row r="3293" spans="2:16" x14ac:dyDescent="0.25">
      <c r="B3293" s="336" t="s">
        <v>416</v>
      </c>
      <c r="C3293" s="337">
        <v>39268</v>
      </c>
      <c r="D3293" s="338" t="s">
        <v>3491</v>
      </c>
      <c r="E3293" s="336" t="s">
        <v>419</v>
      </c>
      <c r="F3293" s="338" t="s">
        <v>3490</v>
      </c>
      <c r="G3293" s="338" t="s">
        <v>413</v>
      </c>
      <c r="H3293" s="338" t="s">
        <v>425</v>
      </c>
      <c r="I3293" s="338" t="s">
        <v>411</v>
      </c>
      <c r="J3293" s="339"/>
      <c r="K3293" s="339"/>
      <c r="L3293" s="339"/>
      <c r="M3293" s="339"/>
      <c r="N3293" s="338"/>
      <c r="O3293" s="338"/>
      <c r="P3293" s="338" t="s">
        <v>417</v>
      </c>
    </row>
    <row r="3294" spans="2:16" x14ac:dyDescent="0.25">
      <c r="B3294" s="336" t="s">
        <v>416</v>
      </c>
      <c r="C3294" s="337">
        <v>39268</v>
      </c>
      <c r="D3294" s="338" t="s">
        <v>3488</v>
      </c>
      <c r="E3294" s="336" t="s">
        <v>2425</v>
      </c>
      <c r="F3294" s="338"/>
      <c r="G3294" s="338">
        <v>3</v>
      </c>
      <c r="H3294" s="338" t="s">
        <v>425</v>
      </c>
      <c r="I3294" s="338" t="s">
        <v>411</v>
      </c>
      <c r="J3294" s="339"/>
      <c r="K3294" s="339"/>
      <c r="L3294" s="339" t="s">
        <v>409</v>
      </c>
      <c r="M3294" s="339" t="s">
        <v>409</v>
      </c>
      <c r="N3294" s="338"/>
      <c r="O3294" s="338" t="s">
        <v>409</v>
      </c>
      <c r="P3294" s="338" t="s">
        <v>417</v>
      </c>
    </row>
    <row r="3295" spans="2:16" x14ac:dyDescent="0.25">
      <c r="B3295" s="336" t="s">
        <v>416</v>
      </c>
      <c r="C3295" s="337">
        <v>39268</v>
      </c>
      <c r="D3295" s="338" t="s">
        <v>3489</v>
      </c>
      <c r="E3295" s="336" t="s">
        <v>1789</v>
      </c>
      <c r="F3295" s="338"/>
      <c r="G3295" s="338">
        <v>71.66</v>
      </c>
      <c r="H3295" s="338" t="s">
        <v>425</v>
      </c>
      <c r="I3295" s="338" t="s">
        <v>411</v>
      </c>
      <c r="J3295" s="339">
        <v>0.29436099999999998</v>
      </c>
      <c r="K3295" s="339">
        <v>5.0058199999999999</v>
      </c>
      <c r="L3295" s="339" t="s">
        <v>409</v>
      </c>
      <c r="M3295" s="339" t="s">
        <v>409</v>
      </c>
      <c r="N3295" s="338" t="s">
        <v>417</v>
      </c>
      <c r="O3295" s="338" t="s">
        <v>409</v>
      </c>
      <c r="P3295" s="338"/>
    </row>
    <row r="3296" spans="2:16" x14ac:dyDescent="0.25">
      <c r="B3296" s="336" t="s">
        <v>416</v>
      </c>
      <c r="C3296" s="337">
        <v>39268</v>
      </c>
      <c r="D3296" s="338" t="s">
        <v>3488</v>
      </c>
      <c r="E3296" s="336" t="s">
        <v>3487</v>
      </c>
      <c r="F3296" s="338" t="s">
        <v>2425</v>
      </c>
      <c r="G3296" s="338">
        <v>1.3</v>
      </c>
      <c r="H3296" s="338" t="s">
        <v>425</v>
      </c>
      <c r="I3296" s="338" t="s">
        <v>411</v>
      </c>
      <c r="J3296" s="339"/>
      <c r="K3296" s="339"/>
      <c r="L3296" s="339">
        <v>0.323432</v>
      </c>
      <c r="M3296" s="339"/>
      <c r="N3296" s="338"/>
      <c r="O3296" s="338" t="s">
        <v>417</v>
      </c>
      <c r="P3296" s="338" t="s">
        <v>1785</v>
      </c>
    </row>
    <row r="3297" spans="2:16" x14ac:dyDescent="0.25">
      <c r="B3297" s="336" t="s">
        <v>416</v>
      </c>
      <c r="C3297" s="337">
        <v>39266</v>
      </c>
      <c r="D3297" s="338" t="s">
        <v>3486</v>
      </c>
      <c r="E3297" s="336" t="s">
        <v>3485</v>
      </c>
      <c r="F3297" s="338"/>
      <c r="G3297" s="338" t="s">
        <v>413</v>
      </c>
      <c r="H3297" s="338" t="s">
        <v>412</v>
      </c>
      <c r="I3297" s="338" t="s">
        <v>411</v>
      </c>
      <c r="J3297" s="339"/>
      <c r="K3297" s="339"/>
      <c r="L3297" s="339" t="s">
        <v>409</v>
      </c>
      <c r="M3297" s="339" t="s">
        <v>409</v>
      </c>
      <c r="N3297" s="338" t="s">
        <v>417</v>
      </c>
      <c r="O3297" s="338" t="s">
        <v>409</v>
      </c>
      <c r="P3297" s="338" t="s">
        <v>417</v>
      </c>
    </row>
    <row r="3298" spans="2:16" x14ac:dyDescent="0.25">
      <c r="B3298" s="336" t="s">
        <v>416</v>
      </c>
      <c r="C3298" s="337">
        <v>39266</v>
      </c>
      <c r="D3298" s="338" t="s">
        <v>3484</v>
      </c>
      <c r="E3298" s="336" t="s">
        <v>1330</v>
      </c>
      <c r="F3298" s="338"/>
      <c r="G3298" s="338" t="s">
        <v>413</v>
      </c>
      <c r="H3298" s="338" t="s">
        <v>425</v>
      </c>
      <c r="I3298" s="338" t="s">
        <v>411</v>
      </c>
      <c r="J3298" s="339"/>
      <c r="K3298" s="339"/>
      <c r="L3298" s="339" t="s">
        <v>409</v>
      </c>
      <c r="M3298" s="339" t="s">
        <v>409</v>
      </c>
      <c r="N3298" s="338" t="s">
        <v>417</v>
      </c>
      <c r="O3298" s="338" t="s">
        <v>409</v>
      </c>
      <c r="P3298" s="338" t="s">
        <v>443</v>
      </c>
    </row>
    <row r="3299" spans="2:16" x14ac:dyDescent="0.25">
      <c r="B3299" s="336" t="s">
        <v>416</v>
      </c>
      <c r="C3299" s="337">
        <v>39265</v>
      </c>
      <c r="D3299" s="338" t="s">
        <v>3483</v>
      </c>
      <c r="E3299" s="336" t="s">
        <v>1619</v>
      </c>
      <c r="F3299" s="338"/>
      <c r="G3299" s="338">
        <v>766.2</v>
      </c>
      <c r="H3299" s="338" t="s">
        <v>425</v>
      </c>
      <c r="I3299" s="338" t="s">
        <v>411</v>
      </c>
      <c r="J3299" s="339">
        <v>0.85090600000000005</v>
      </c>
      <c r="K3299" s="339">
        <v>12.428000000000001</v>
      </c>
      <c r="L3299" s="339" t="s">
        <v>409</v>
      </c>
      <c r="M3299" s="339" t="s">
        <v>409</v>
      </c>
      <c r="N3299" s="338" t="s">
        <v>410</v>
      </c>
      <c r="O3299" s="338" t="s">
        <v>409</v>
      </c>
      <c r="P3299" s="338" t="s">
        <v>417</v>
      </c>
    </row>
    <row r="3300" spans="2:16" x14ac:dyDescent="0.25">
      <c r="B3300" s="336" t="s">
        <v>416</v>
      </c>
      <c r="C3300" s="337">
        <v>39265</v>
      </c>
      <c r="D3300" s="338" t="s">
        <v>3482</v>
      </c>
      <c r="E3300" s="336" t="s">
        <v>3481</v>
      </c>
      <c r="F3300" s="338"/>
      <c r="G3300" s="338" t="s">
        <v>413</v>
      </c>
      <c r="H3300" s="338" t="s">
        <v>425</v>
      </c>
      <c r="I3300" s="338" t="s">
        <v>411</v>
      </c>
      <c r="J3300" s="339"/>
      <c r="K3300" s="339"/>
      <c r="L3300" s="339" t="s">
        <v>409</v>
      </c>
      <c r="M3300" s="339" t="s">
        <v>409</v>
      </c>
      <c r="N3300" s="338" t="s">
        <v>417</v>
      </c>
      <c r="O3300" s="338" t="s">
        <v>409</v>
      </c>
      <c r="P3300" s="338" t="s">
        <v>443</v>
      </c>
    </row>
    <row r="3301" spans="2:16" x14ac:dyDescent="0.25">
      <c r="B3301" s="336" t="s">
        <v>416</v>
      </c>
      <c r="C3301" s="337">
        <v>39265</v>
      </c>
      <c r="D3301" s="338" t="s">
        <v>3480</v>
      </c>
      <c r="E3301" s="336" t="s">
        <v>3329</v>
      </c>
      <c r="F3301" s="338" t="s">
        <v>3479</v>
      </c>
      <c r="G3301" s="338" t="s">
        <v>413</v>
      </c>
      <c r="H3301" s="338" t="s">
        <v>412</v>
      </c>
      <c r="I3301" s="338" t="s">
        <v>411</v>
      </c>
      <c r="J3301" s="339"/>
      <c r="K3301" s="339"/>
      <c r="L3301" s="339">
        <v>0.25592599999999999</v>
      </c>
      <c r="M3301" s="339"/>
      <c r="N3301" s="338"/>
      <c r="O3301" s="338" t="s">
        <v>417</v>
      </c>
      <c r="P3301" s="338" t="s">
        <v>417</v>
      </c>
    </row>
    <row r="3302" spans="2:16" x14ac:dyDescent="0.25">
      <c r="B3302" s="336" t="s">
        <v>416</v>
      </c>
      <c r="C3302" s="337">
        <v>39265</v>
      </c>
      <c r="D3302" s="338" t="s">
        <v>3478</v>
      </c>
      <c r="E3302" s="336" t="s">
        <v>423</v>
      </c>
      <c r="F3302" s="338" t="s">
        <v>889</v>
      </c>
      <c r="G3302" s="338" t="s">
        <v>413</v>
      </c>
      <c r="H3302" s="338" t="s">
        <v>412</v>
      </c>
      <c r="I3302" s="338" t="s">
        <v>411</v>
      </c>
      <c r="J3302" s="339"/>
      <c r="K3302" s="339"/>
      <c r="L3302" s="339">
        <v>2.9470299999999998</v>
      </c>
      <c r="M3302" s="339">
        <v>13.790100000000001</v>
      </c>
      <c r="N3302" s="338" t="s">
        <v>410</v>
      </c>
      <c r="O3302" s="338" t="s">
        <v>410</v>
      </c>
      <c r="P3302" s="338"/>
    </row>
    <row r="3303" spans="2:16" x14ac:dyDescent="0.25">
      <c r="B3303" s="336" t="s">
        <v>416</v>
      </c>
      <c r="C3303" s="337">
        <v>39265</v>
      </c>
      <c r="D3303" s="338" t="s">
        <v>3477</v>
      </c>
      <c r="E3303" s="336" t="s">
        <v>1824</v>
      </c>
      <c r="F3303" s="338"/>
      <c r="G3303" s="338">
        <v>22.6</v>
      </c>
      <c r="H3303" s="338" t="s">
        <v>425</v>
      </c>
      <c r="I3303" s="338" t="s">
        <v>411</v>
      </c>
      <c r="J3303" s="339"/>
      <c r="K3303" s="339"/>
      <c r="L3303" s="339" t="s">
        <v>409</v>
      </c>
      <c r="M3303" s="339" t="s">
        <v>409</v>
      </c>
      <c r="N3303" s="338"/>
      <c r="O3303" s="338" t="s">
        <v>409</v>
      </c>
      <c r="P3303" s="338" t="s">
        <v>417</v>
      </c>
    </row>
    <row r="3304" spans="2:16" x14ac:dyDescent="0.25">
      <c r="B3304" s="336" t="s">
        <v>416</v>
      </c>
      <c r="C3304" s="337">
        <v>39263</v>
      </c>
      <c r="D3304" s="338" t="s">
        <v>3476</v>
      </c>
      <c r="E3304" s="336" t="s">
        <v>3475</v>
      </c>
      <c r="F3304" s="338"/>
      <c r="G3304" s="338" t="s">
        <v>413</v>
      </c>
      <c r="H3304" s="338" t="s">
        <v>412</v>
      </c>
      <c r="I3304" s="338" t="s">
        <v>411</v>
      </c>
      <c r="J3304" s="339"/>
      <c r="K3304" s="339"/>
      <c r="L3304" s="339" t="s">
        <v>409</v>
      </c>
      <c r="M3304" s="339" t="s">
        <v>409</v>
      </c>
      <c r="N3304" s="338" t="s">
        <v>417</v>
      </c>
      <c r="O3304" s="338" t="s">
        <v>409</v>
      </c>
      <c r="P3304" s="338" t="s">
        <v>410</v>
      </c>
    </row>
    <row r="3305" spans="2:16" x14ac:dyDescent="0.25">
      <c r="B3305" s="336" t="s">
        <v>416</v>
      </c>
      <c r="C3305" s="337">
        <v>39263</v>
      </c>
      <c r="D3305" s="338" t="s">
        <v>3474</v>
      </c>
      <c r="E3305" s="336" t="s">
        <v>3473</v>
      </c>
      <c r="F3305" s="338"/>
      <c r="G3305" s="338">
        <v>54</v>
      </c>
      <c r="H3305" s="338" t="s">
        <v>425</v>
      </c>
      <c r="I3305" s="338" t="s">
        <v>411</v>
      </c>
      <c r="J3305" s="339"/>
      <c r="K3305" s="339"/>
      <c r="L3305" s="339" t="s">
        <v>409</v>
      </c>
      <c r="M3305" s="339" t="s">
        <v>409</v>
      </c>
      <c r="N3305" s="338" t="s">
        <v>417</v>
      </c>
      <c r="O3305" s="338" t="s">
        <v>409</v>
      </c>
      <c r="P3305" s="338" t="s">
        <v>443</v>
      </c>
    </row>
    <row r="3306" spans="2:16" x14ac:dyDescent="0.25">
      <c r="B3306" s="336" t="s">
        <v>541</v>
      </c>
      <c r="C3306" s="337">
        <v>39262</v>
      </c>
      <c r="D3306" s="338" t="s">
        <v>3472</v>
      </c>
      <c r="E3306" s="336" t="s">
        <v>539</v>
      </c>
      <c r="F3306" s="338" t="s">
        <v>2831</v>
      </c>
      <c r="G3306" s="338" t="s">
        <v>413</v>
      </c>
      <c r="H3306" s="338"/>
      <c r="I3306" s="338" t="s">
        <v>411</v>
      </c>
      <c r="J3306" s="339"/>
      <c r="K3306" s="339"/>
      <c r="L3306" s="339"/>
      <c r="M3306" s="339"/>
      <c r="N3306" s="338" t="s">
        <v>612</v>
      </c>
      <c r="O3306" s="338" t="s">
        <v>410</v>
      </c>
      <c r="P3306" s="338" t="s">
        <v>409</v>
      </c>
    </row>
    <row r="3307" spans="2:16" x14ac:dyDescent="0.25">
      <c r="B3307" s="336" t="s">
        <v>416</v>
      </c>
      <c r="C3307" s="337">
        <v>39262</v>
      </c>
      <c r="D3307" s="338" t="s">
        <v>3471</v>
      </c>
      <c r="E3307" s="336" t="s">
        <v>3470</v>
      </c>
      <c r="F3307" s="338"/>
      <c r="G3307" s="338" t="s">
        <v>413</v>
      </c>
      <c r="H3307" s="338" t="s">
        <v>425</v>
      </c>
      <c r="I3307" s="338" t="s">
        <v>411</v>
      </c>
      <c r="J3307" s="339"/>
      <c r="K3307" s="339"/>
      <c r="L3307" s="339" t="s">
        <v>409</v>
      </c>
      <c r="M3307" s="339" t="s">
        <v>409</v>
      </c>
      <c r="N3307" s="338" t="s">
        <v>417</v>
      </c>
      <c r="O3307" s="338" t="s">
        <v>409</v>
      </c>
      <c r="P3307" s="338" t="s">
        <v>432</v>
      </c>
    </row>
    <row r="3308" spans="2:16" x14ac:dyDescent="0.25">
      <c r="B3308" s="336" t="s">
        <v>416</v>
      </c>
      <c r="C3308" s="337">
        <v>39262</v>
      </c>
      <c r="D3308" s="338" t="s">
        <v>3469</v>
      </c>
      <c r="E3308" s="336" t="s">
        <v>3468</v>
      </c>
      <c r="F3308" s="338" t="s">
        <v>3467</v>
      </c>
      <c r="G3308" s="338" t="s">
        <v>413</v>
      </c>
      <c r="H3308" s="338" t="s">
        <v>425</v>
      </c>
      <c r="I3308" s="338" t="s">
        <v>411</v>
      </c>
      <c r="J3308" s="339"/>
      <c r="K3308" s="339"/>
      <c r="L3308" s="339"/>
      <c r="M3308" s="339"/>
      <c r="N3308" s="338"/>
      <c r="O3308" s="338" t="s">
        <v>410</v>
      </c>
      <c r="P3308" s="338" t="s">
        <v>417</v>
      </c>
    </row>
    <row r="3309" spans="2:16" x14ac:dyDescent="0.25">
      <c r="B3309" s="336" t="s">
        <v>416</v>
      </c>
      <c r="C3309" s="337">
        <v>39261</v>
      </c>
      <c r="D3309" s="338" t="s">
        <v>3466</v>
      </c>
      <c r="E3309" s="336" t="s">
        <v>3465</v>
      </c>
      <c r="F3309" s="338"/>
      <c r="G3309" s="338">
        <v>169.11</v>
      </c>
      <c r="H3309" s="338" t="s">
        <v>425</v>
      </c>
      <c r="I3309" s="338" t="s">
        <v>411</v>
      </c>
      <c r="J3309" s="339">
        <v>2.89995</v>
      </c>
      <c r="K3309" s="339">
        <v>15.264699999999999</v>
      </c>
      <c r="L3309" s="339" t="s">
        <v>409</v>
      </c>
      <c r="M3309" s="339" t="s">
        <v>409</v>
      </c>
      <c r="N3309" s="338" t="s">
        <v>417</v>
      </c>
      <c r="O3309" s="338" t="s">
        <v>409</v>
      </c>
      <c r="P3309" s="338" t="s">
        <v>417</v>
      </c>
    </row>
    <row r="3310" spans="2:16" x14ac:dyDescent="0.25">
      <c r="B3310" s="336" t="s">
        <v>416</v>
      </c>
      <c r="C3310" s="337">
        <v>39261</v>
      </c>
      <c r="D3310" s="338" t="s">
        <v>3464</v>
      </c>
      <c r="E3310" s="336" t="s">
        <v>3012</v>
      </c>
      <c r="F3310" s="338"/>
      <c r="G3310" s="338" t="s">
        <v>413</v>
      </c>
      <c r="H3310" s="338" t="s">
        <v>412</v>
      </c>
      <c r="I3310" s="338" t="s">
        <v>411</v>
      </c>
      <c r="J3310" s="339"/>
      <c r="K3310" s="339"/>
      <c r="L3310" s="339" t="s">
        <v>409</v>
      </c>
      <c r="M3310" s="339" t="s">
        <v>409</v>
      </c>
      <c r="N3310" s="338" t="s">
        <v>417</v>
      </c>
      <c r="O3310" s="338" t="s">
        <v>409</v>
      </c>
      <c r="P3310" s="338" t="s">
        <v>417</v>
      </c>
    </row>
    <row r="3311" spans="2:16" x14ac:dyDescent="0.25">
      <c r="B3311" s="336" t="s">
        <v>416</v>
      </c>
      <c r="C3311" s="337">
        <v>39260</v>
      </c>
      <c r="D3311" s="338" t="s">
        <v>3463</v>
      </c>
      <c r="E3311" s="336" t="s">
        <v>3462</v>
      </c>
      <c r="F3311" s="338"/>
      <c r="G3311" s="338" t="s">
        <v>413</v>
      </c>
      <c r="H3311" s="338" t="s">
        <v>412</v>
      </c>
      <c r="I3311" s="338" t="s">
        <v>411</v>
      </c>
      <c r="J3311" s="339"/>
      <c r="K3311" s="339"/>
      <c r="L3311" s="339" t="s">
        <v>409</v>
      </c>
      <c r="M3311" s="339" t="s">
        <v>409</v>
      </c>
      <c r="N3311" s="338" t="s">
        <v>417</v>
      </c>
      <c r="O3311" s="338" t="s">
        <v>409</v>
      </c>
      <c r="P3311" s="338" t="s">
        <v>417</v>
      </c>
    </row>
    <row r="3312" spans="2:16" x14ac:dyDescent="0.25">
      <c r="B3312" s="336" t="s">
        <v>416</v>
      </c>
      <c r="C3312" s="337">
        <v>39260</v>
      </c>
      <c r="D3312" s="338" t="s">
        <v>928</v>
      </c>
      <c r="E3312" s="336" t="s">
        <v>712</v>
      </c>
      <c r="F3312" s="338"/>
      <c r="G3312" s="338">
        <v>2061.17</v>
      </c>
      <c r="H3312" s="338" t="s">
        <v>425</v>
      </c>
      <c r="I3312" s="338" t="s">
        <v>411</v>
      </c>
      <c r="J3312" s="339"/>
      <c r="K3312" s="339"/>
      <c r="L3312" s="339" t="s">
        <v>409</v>
      </c>
      <c r="M3312" s="339" t="s">
        <v>409</v>
      </c>
      <c r="N3312" s="338" t="s">
        <v>417</v>
      </c>
      <c r="O3312" s="338" t="s">
        <v>409</v>
      </c>
      <c r="P3312" s="338" t="s">
        <v>443</v>
      </c>
    </row>
    <row r="3313" spans="2:16" x14ac:dyDescent="0.25">
      <c r="B3313" s="336" t="s">
        <v>416</v>
      </c>
      <c r="C3313" s="337">
        <v>39259</v>
      </c>
      <c r="D3313" s="338" t="s">
        <v>3461</v>
      </c>
      <c r="E3313" s="336" t="s">
        <v>3460</v>
      </c>
      <c r="F3313" s="338"/>
      <c r="G3313" s="338">
        <v>278.58999999999997</v>
      </c>
      <c r="H3313" s="338" t="s">
        <v>425</v>
      </c>
      <c r="I3313" s="338" t="s">
        <v>411</v>
      </c>
      <c r="J3313" s="339"/>
      <c r="K3313" s="339"/>
      <c r="L3313" s="339" t="s">
        <v>409</v>
      </c>
      <c r="M3313" s="339" t="s">
        <v>409</v>
      </c>
      <c r="N3313" s="338" t="s">
        <v>417</v>
      </c>
      <c r="O3313" s="338" t="s">
        <v>409</v>
      </c>
      <c r="P3313" s="338"/>
    </row>
    <row r="3314" spans="2:16" x14ac:dyDescent="0.25">
      <c r="B3314" s="336" t="s">
        <v>416</v>
      </c>
      <c r="C3314" s="337">
        <v>39258</v>
      </c>
      <c r="D3314" s="338" t="s">
        <v>3459</v>
      </c>
      <c r="E3314" s="336" t="s">
        <v>1315</v>
      </c>
      <c r="F3314" s="338" t="s">
        <v>3458</v>
      </c>
      <c r="G3314" s="338">
        <v>631</v>
      </c>
      <c r="H3314" s="338" t="s">
        <v>425</v>
      </c>
      <c r="I3314" s="338" t="s">
        <v>411</v>
      </c>
      <c r="J3314" s="339"/>
      <c r="K3314" s="339"/>
      <c r="L3314" s="339"/>
      <c r="M3314" s="339"/>
      <c r="N3314" s="338" t="s">
        <v>410</v>
      </c>
      <c r="O3314" s="338"/>
      <c r="P3314" s="338" t="s">
        <v>443</v>
      </c>
    </row>
    <row r="3315" spans="2:16" x14ac:dyDescent="0.25">
      <c r="B3315" s="336" t="s">
        <v>416</v>
      </c>
      <c r="C3315" s="337">
        <v>39255</v>
      </c>
      <c r="D3315" s="338" t="s">
        <v>645</v>
      </c>
      <c r="E3315" s="336" t="s">
        <v>2271</v>
      </c>
      <c r="F3315" s="338" t="s">
        <v>644</v>
      </c>
      <c r="G3315" s="338">
        <v>942.3</v>
      </c>
      <c r="H3315" s="338" t="s">
        <v>425</v>
      </c>
      <c r="I3315" s="338" t="s">
        <v>411</v>
      </c>
      <c r="J3315" s="339">
        <v>0.76237900000000003</v>
      </c>
      <c r="K3315" s="339">
        <v>7.69808</v>
      </c>
      <c r="L3315" s="339">
        <v>0.53802499999999998</v>
      </c>
      <c r="M3315" s="339">
        <v>7.9156399999999998</v>
      </c>
      <c r="N3315" s="338" t="s">
        <v>417</v>
      </c>
      <c r="O3315" s="338" t="s">
        <v>417</v>
      </c>
      <c r="P3315" s="338" t="s">
        <v>443</v>
      </c>
    </row>
    <row r="3316" spans="2:16" x14ac:dyDescent="0.25">
      <c r="B3316" s="336" t="s">
        <v>416</v>
      </c>
      <c r="C3316" s="337">
        <v>39255</v>
      </c>
      <c r="D3316" s="338" t="s">
        <v>3457</v>
      </c>
      <c r="E3316" s="336" t="s">
        <v>3325</v>
      </c>
      <c r="F3316" s="338"/>
      <c r="G3316" s="338" t="s">
        <v>413</v>
      </c>
      <c r="H3316" s="338" t="s">
        <v>425</v>
      </c>
      <c r="I3316" s="338" t="s">
        <v>411</v>
      </c>
      <c r="J3316" s="339"/>
      <c r="K3316" s="339"/>
      <c r="L3316" s="339" t="s">
        <v>409</v>
      </c>
      <c r="M3316" s="339" t="s">
        <v>409</v>
      </c>
      <c r="N3316" s="338" t="s">
        <v>417</v>
      </c>
      <c r="O3316" s="338" t="s">
        <v>409</v>
      </c>
      <c r="P3316" s="338" t="s">
        <v>443</v>
      </c>
    </row>
    <row r="3317" spans="2:16" x14ac:dyDescent="0.25">
      <c r="B3317" s="336" t="s">
        <v>416</v>
      </c>
      <c r="C3317" s="337">
        <v>39254</v>
      </c>
      <c r="D3317" s="338" t="s">
        <v>3456</v>
      </c>
      <c r="E3317" s="336" t="s">
        <v>653</v>
      </c>
      <c r="F3317" s="338"/>
      <c r="G3317" s="338" t="s">
        <v>413</v>
      </c>
      <c r="H3317" s="338" t="s">
        <v>412</v>
      </c>
      <c r="I3317" s="338" t="s">
        <v>411</v>
      </c>
      <c r="J3317" s="339"/>
      <c r="K3317" s="339"/>
      <c r="L3317" s="339" t="s">
        <v>409</v>
      </c>
      <c r="M3317" s="339" t="s">
        <v>409</v>
      </c>
      <c r="N3317" s="338" t="s">
        <v>417</v>
      </c>
      <c r="O3317" s="338" t="s">
        <v>409</v>
      </c>
      <c r="P3317" s="338" t="s">
        <v>417</v>
      </c>
    </row>
    <row r="3318" spans="2:16" x14ac:dyDescent="0.25">
      <c r="B3318" s="336" t="s">
        <v>416</v>
      </c>
      <c r="C3318" s="337">
        <v>39254</v>
      </c>
      <c r="D3318" s="338" t="s">
        <v>3455</v>
      </c>
      <c r="E3318" s="336" t="s">
        <v>1572</v>
      </c>
      <c r="F3318" s="338"/>
      <c r="G3318" s="338">
        <v>36</v>
      </c>
      <c r="H3318" s="338" t="s">
        <v>425</v>
      </c>
      <c r="I3318" s="338" t="s">
        <v>411</v>
      </c>
      <c r="J3318" s="339"/>
      <c r="K3318" s="339"/>
      <c r="L3318" s="339" t="s">
        <v>409</v>
      </c>
      <c r="M3318" s="339" t="s">
        <v>409</v>
      </c>
      <c r="N3318" s="338"/>
      <c r="O3318" s="338" t="s">
        <v>409</v>
      </c>
      <c r="P3318" s="338" t="s">
        <v>417</v>
      </c>
    </row>
    <row r="3319" spans="2:16" x14ac:dyDescent="0.25">
      <c r="B3319" s="336" t="s">
        <v>416</v>
      </c>
      <c r="C3319" s="337">
        <v>39254</v>
      </c>
      <c r="D3319" s="338" t="s">
        <v>956</v>
      </c>
      <c r="E3319" s="336" t="s">
        <v>3454</v>
      </c>
      <c r="F3319" s="338" t="s">
        <v>3453</v>
      </c>
      <c r="G3319" s="338">
        <v>12</v>
      </c>
      <c r="H3319" s="338" t="s">
        <v>425</v>
      </c>
      <c r="I3319" s="338" t="s">
        <v>411</v>
      </c>
      <c r="J3319" s="339"/>
      <c r="K3319" s="339"/>
      <c r="L3319" s="339"/>
      <c r="M3319" s="339"/>
      <c r="N3319" s="338"/>
      <c r="O3319" s="338" t="s">
        <v>417</v>
      </c>
      <c r="P3319" s="338"/>
    </row>
    <row r="3320" spans="2:16" x14ac:dyDescent="0.25">
      <c r="B3320" s="336" t="s">
        <v>416</v>
      </c>
      <c r="C3320" s="337">
        <v>39254</v>
      </c>
      <c r="D3320" s="338" t="s">
        <v>3452</v>
      </c>
      <c r="E3320" s="336" t="s">
        <v>3451</v>
      </c>
      <c r="F3320" s="338" t="s">
        <v>3450</v>
      </c>
      <c r="G3320" s="338">
        <v>8.17</v>
      </c>
      <c r="H3320" s="338" t="s">
        <v>418</v>
      </c>
      <c r="I3320" s="338" t="s">
        <v>411</v>
      </c>
      <c r="J3320" s="339"/>
      <c r="K3320" s="339"/>
      <c r="L3320" s="339">
        <v>0.258239</v>
      </c>
      <c r="M3320" s="339">
        <v>4.8276899999999996</v>
      </c>
      <c r="N3320" s="338" t="s">
        <v>417</v>
      </c>
      <c r="O3320" s="338" t="s">
        <v>417</v>
      </c>
      <c r="P3320" s="338" t="s">
        <v>443</v>
      </c>
    </row>
    <row r="3321" spans="2:16" x14ac:dyDescent="0.25">
      <c r="B3321" s="336" t="s">
        <v>416</v>
      </c>
      <c r="C3321" s="337">
        <v>39253</v>
      </c>
      <c r="D3321" s="338" t="s">
        <v>3449</v>
      </c>
      <c r="E3321" s="336" t="s">
        <v>3448</v>
      </c>
      <c r="F3321" s="338" t="s">
        <v>2831</v>
      </c>
      <c r="G3321" s="338" t="s">
        <v>413</v>
      </c>
      <c r="H3321" s="338" t="s">
        <v>425</v>
      </c>
      <c r="I3321" s="338" t="s">
        <v>411</v>
      </c>
      <c r="J3321" s="339"/>
      <c r="K3321" s="339"/>
      <c r="L3321" s="339"/>
      <c r="M3321" s="339"/>
      <c r="N3321" s="338" t="s">
        <v>417</v>
      </c>
      <c r="O3321" s="338" t="s">
        <v>410</v>
      </c>
      <c r="P3321" s="338" t="s">
        <v>443</v>
      </c>
    </row>
    <row r="3322" spans="2:16" x14ac:dyDescent="0.25">
      <c r="B3322" s="336" t="s">
        <v>416</v>
      </c>
      <c r="C3322" s="337">
        <v>39253</v>
      </c>
      <c r="D3322" s="338" t="s">
        <v>3447</v>
      </c>
      <c r="E3322" s="336" t="s">
        <v>1951</v>
      </c>
      <c r="F3322" s="338"/>
      <c r="G3322" s="338" t="s">
        <v>413</v>
      </c>
      <c r="H3322" s="338" t="s">
        <v>412</v>
      </c>
      <c r="I3322" s="338" t="s">
        <v>411</v>
      </c>
      <c r="J3322" s="339"/>
      <c r="K3322" s="339"/>
      <c r="L3322" s="339" t="s">
        <v>409</v>
      </c>
      <c r="M3322" s="339" t="s">
        <v>409</v>
      </c>
      <c r="N3322" s="338" t="s">
        <v>417</v>
      </c>
      <c r="O3322" s="338" t="s">
        <v>409</v>
      </c>
      <c r="P3322" s="338" t="s">
        <v>417</v>
      </c>
    </row>
    <row r="3323" spans="2:16" x14ac:dyDescent="0.25">
      <c r="B3323" s="336" t="s">
        <v>416</v>
      </c>
      <c r="C3323" s="337">
        <v>39253</v>
      </c>
      <c r="D3323" s="338" t="s">
        <v>3446</v>
      </c>
      <c r="E3323" s="336" t="s">
        <v>3012</v>
      </c>
      <c r="F3323" s="338"/>
      <c r="G3323" s="338" t="s">
        <v>413</v>
      </c>
      <c r="H3323" s="338" t="s">
        <v>412</v>
      </c>
      <c r="I3323" s="338" t="s">
        <v>411</v>
      </c>
      <c r="J3323" s="339"/>
      <c r="K3323" s="339"/>
      <c r="L3323" s="339" t="s">
        <v>409</v>
      </c>
      <c r="M3323" s="339" t="s">
        <v>409</v>
      </c>
      <c r="N3323" s="338" t="s">
        <v>417</v>
      </c>
      <c r="O3323" s="338" t="s">
        <v>409</v>
      </c>
      <c r="P3323" s="338" t="s">
        <v>417</v>
      </c>
    </row>
    <row r="3324" spans="2:16" x14ac:dyDescent="0.25">
      <c r="B3324" s="336" t="s">
        <v>416</v>
      </c>
      <c r="C3324" s="337">
        <v>39253</v>
      </c>
      <c r="D3324" s="338" t="s">
        <v>3445</v>
      </c>
      <c r="E3324" s="336" t="s">
        <v>1445</v>
      </c>
      <c r="F3324" s="338"/>
      <c r="G3324" s="338" t="s">
        <v>413</v>
      </c>
      <c r="H3324" s="338" t="s">
        <v>412</v>
      </c>
      <c r="I3324" s="338" t="s">
        <v>411</v>
      </c>
      <c r="J3324" s="339"/>
      <c r="K3324" s="339"/>
      <c r="L3324" s="339" t="s">
        <v>409</v>
      </c>
      <c r="M3324" s="339" t="s">
        <v>409</v>
      </c>
      <c r="N3324" s="338" t="s">
        <v>417</v>
      </c>
      <c r="O3324" s="338" t="s">
        <v>409</v>
      </c>
      <c r="P3324" s="338" t="s">
        <v>417</v>
      </c>
    </row>
    <row r="3325" spans="2:16" x14ac:dyDescent="0.25">
      <c r="B3325" s="336" t="s">
        <v>459</v>
      </c>
      <c r="C3325" s="337">
        <v>39253</v>
      </c>
      <c r="D3325" s="338" t="s">
        <v>3444</v>
      </c>
      <c r="E3325" s="336" t="s">
        <v>2415</v>
      </c>
      <c r="F3325" s="338"/>
      <c r="G3325" s="338" t="s">
        <v>413</v>
      </c>
      <c r="H3325" s="338" t="s">
        <v>412</v>
      </c>
      <c r="I3325" s="338" t="s">
        <v>411</v>
      </c>
      <c r="J3325" s="339"/>
      <c r="K3325" s="339"/>
      <c r="L3325" s="339" t="s">
        <v>409</v>
      </c>
      <c r="M3325" s="339" t="s">
        <v>409</v>
      </c>
      <c r="N3325" s="338" t="s">
        <v>417</v>
      </c>
      <c r="O3325" s="338" t="s">
        <v>409</v>
      </c>
      <c r="P3325" s="338" t="s">
        <v>543</v>
      </c>
    </row>
    <row r="3326" spans="2:16" x14ac:dyDescent="0.25">
      <c r="B3326" s="336" t="s">
        <v>416</v>
      </c>
      <c r="C3326" s="337">
        <v>39252</v>
      </c>
      <c r="D3326" s="338" t="s">
        <v>3443</v>
      </c>
      <c r="E3326" s="336" t="s">
        <v>3442</v>
      </c>
      <c r="F3326" s="338"/>
      <c r="G3326" s="338" t="s">
        <v>413</v>
      </c>
      <c r="H3326" s="338" t="s">
        <v>336</v>
      </c>
      <c r="I3326" s="338" t="s">
        <v>411</v>
      </c>
      <c r="J3326" s="339"/>
      <c r="K3326" s="339"/>
      <c r="L3326" s="339" t="s">
        <v>409</v>
      </c>
      <c r="M3326" s="339" t="s">
        <v>409</v>
      </c>
      <c r="N3326" s="338" t="s">
        <v>432</v>
      </c>
      <c r="O3326" s="338" t="s">
        <v>409</v>
      </c>
      <c r="P3326" s="338" t="s">
        <v>417</v>
      </c>
    </row>
    <row r="3327" spans="2:16" x14ac:dyDescent="0.25">
      <c r="B3327" s="336" t="s">
        <v>416</v>
      </c>
      <c r="C3327" s="337">
        <v>39252</v>
      </c>
      <c r="D3327" s="338" t="s">
        <v>3441</v>
      </c>
      <c r="E3327" s="336" t="s">
        <v>3440</v>
      </c>
      <c r="F3327" s="338" t="s">
        <v>831</v>
      </c>
      <c r="G3327" s="338">
        <v>8500</v>
      </c>
      <c r="H3327" s="338" t="s">
        <v>425</v>
      </c>
      <c r="I3327" s="338" t="s">
        <v>411</v>
      </c>
      <c r="J3327" s="339"/>
      <c r="K3327" s="339"/>
      <c r="L3327" s="339">
        <v>1.53552</v>
      </c>
      <c r="M3327" s="339">
        <v>11.0791</v>
      </c>
      <c r="N3327" s="338" t="s">
        <v>417</v>
      </c>
      <c r="O3327" s="338" t="s">
        <v>417</v>
      </c>
      <c r="P3327" s="338"/>
    </row>
    <row r="3328" spans="2:16" x14ac:dyDescent="0.25">
      <c r="B3328" s="336" t="s">
        <v>416</v>
      </c>
      <c r="C3328" s="337">
        <v>39252</v>
      </c>
      <c r="D3328" s="338" t="s">
        <v>3439</v>
      </c>
      <c r="E3328" s="336" t="s">
        <v>3438</v>
      </c>
      <c r="F3328" s="338" t="s">
        <v>1900</v>
      </c>
      <c r="G3328" s="338" t="s">
        <v>413</v>
      </c>
      <c r="H3328" s="338" t="s">
        <v>425</v>
      </c>
      <c r="I3328" s="338" t="s">
        <v>411</v>
      </c>
      <c r="J3328" s="339"/>
      <c r="K3328" s="339"/>
      <c r="L3328" s="339">
        <v>0.37517499999999998</v>
      </c>
      <c r="M3328" s="339">
        <v>6.1096700000000004</v>
      </c>
      <c r="N3328" s="338"/>
      <c r="O3328" s="338" t="s">
        <v>410</v>
      </c>
      <c r="P3328" s="338"/>
    </row>
    <row r="3329" spans="2:16" x14ac:dyDescent="0.25">
      <c r="B3329" s="336" t="s">
        <v>416</v>
      </c>
      <c r="C3329" s="337">
        <v>39252</v>
      </c>
      <c r="D3329" s="338" t="s">
        <v>3437</v>
      </c>
      <c r="E3329" s="336" t="s">
        <v>1621</v>
      </c>
      <c r="F3329" s="338" t="s">
        <v>1283</v>
      </c>
      <c r="G3329" s="338">
        <v>6.9</v>
      </c>
      <c r="H3329" s="338" t="s">
        <v>425</v>
      </c>
      <c r="I3329" s="338" t="s">
        <v>411</v>
      </c>
      <c r="J3329" s="339"/>
      <c r="K3329" s="339"/>
      <c r="L3329" s="339">
        <v>2.8806600000000002</v>
      </c>
      <c r="M3329" s="339">
        <v>11.8482</v>
      </c>
      <c r="N3329" s="338"/>
      <c r="O3329" s="338" t="s">
        <v>432</v>
      </c>
      <c r="P3329" s="338" t="s">
        <v>417</v>
      </c>
    </row>
    <row r="3330" spans="2:16" x14ac:dyDescent="0.25">
      <c r="B3330" s="336" t="s">
        <v>416</v>
      </c>
      <c r="C3330" s="337">
        <v>39252</v>
      </c>
      <c r="D3330" s="338" t="s">
        <v>3436</v>
      </c>
      <c r="E3330" s="336" t="s">
        <v>3435</v>
      </c>
      <c r="F3330" s="338"/>
      <c r="G3330" s="338">
        <v>175</v>
      </c>
      <c r="H3330" s="338" t="s">
        <v>425</v>
      </c>
      <c r="I3330" s="338" t="s">
        <v>411</v>
      </c>
      <c r="J3330" s="339">
        <v>1.0564800000000001</v>
      </c>
      <c r="K3330" s="339">
        <v>1.6145499999999999</v>
      </c>
      <c r="L3330" s="339" t="s">
        <v>409</v>
      </c>
      <c r="M3330" s="339" t="s">
        <v>409</v>
      </c>
      <c r="N3330" s="338" t="s">
        <v>432</v>
      </c>
      <c r="O3330" s="338" t="s">
        <v>409</v>
      </c>
      <c r="P3330" s="338"/>
    </row>
    <row r="3331" spans="2:16" x14ac:dyDescent="0.25">
      <c r="B3331" s="336" t="s">
        <v>416</v>
      </c>
      <c r="C3331" s="337">
        <v>39251</v>
      </c>
      <c r="D3331" s="338" t="s">
        <v>3434</v>
      </c>
      <c r="E3331" s="336" t="s">
        <v>3433</v>
      </c>
      <c r="F3331" s="338"/>
      <c r="G3331" s="338" t="s">
        <v>413</v>
      </c>
      <c r="H3331" s="338" t="s">
        <v>412</v>
      </c>
      <c r="I3331" s="338" t="s">
        <v>411</v>
      </c>
      <c r="J3331" s="339"/>
      <c r="K3331" s="339"/>
      <c r="L3331" s="339" t="s">
        <v>409</v>
      </c>
      <c r="M3331" s="339" t="s">
        <v>409</v>
      </c>
      <c r="N3331" s="338" t="s">
        <v>417</v>
      </c>
      <c r="O3331" s="338" t="s">
        <v>409</v>
      </c>
      <c r="P3331" s="338" t="s">
        <v>417</v>
      </c>
    </row>
    <row r="3332" spans="2:16" x14ac:dyDescent="0.25">
      <c r="B3332" s="336" t="s">
        <v>416</v>
      </c>
      <c r="C3332" s="337">
        <v>39251</v>
      </c>
      <c r="D3332" s="338" t="s">
        <v>3432</v>
      </c>
      <c r="E3332" s="336" t="s">
        <v>514</v>
      </c>
      <c r="F3332" s="338" t="s">
        <v>3431</v>
      </c>
      <c r="G3332" s="338">
        <v>0.47</v>
      </c>
      <c r="H3332" s="338" t="s">
        <v>425</v>
      </c>
      <c r="I3332" s="338" t="s">
        <v>411</v>
      </c>
      <c r="J3332" s="339"/>
      <c r="K3332" s="339"/>
      <c r="L3332" s="339"/>
      <c r="M3332" s="339"/>
      <c r="N3332" s="338" t="s">
        <v>417</v>
      </c>
      <c r="O3332" s="338" t="s">
        <v>417</v>
      </c>
      <c r="P3332" s="338"/>
    </row>
    <row r="3333" spans="2:16" x14ac:dyDescent="0.25">
      <c r="B3333" s="336" t="s">
        <v>416</v>
      </c>
      <c r="C3333" s="337">
        <v>39250</v>
      </c>
      <c r="D3333" s="338" t="s">
        <v>3430</v>
      </c>
      <c r="E3333" s="336" t="s">
        <v>468</v>
      </c>
      <c r="F3333" s="338"/>
      <c r="G3333" s="338">
        <v>334.34</v>
      </c>
      <c r="H3333" s="338" t="s">
        <v>425</v>
      </c>
      <c r="I3333" s="338" t="s">
        <v>411</v>
      </c>
      <c r="J3333" s="339">
        <v>0.62568599999999996</v>
      </c>
      <c r="K3333" s="339">
        <v>9.0419400000000003</v>
      </c>
      <c r="L3333" s="339" t="s">
        <v>409</v>
      </c>
      <c r="M3333" s="339" t="s">
        <v>409</v>
      </c>
      <c r="N3333" s="338" t="s">
        <v>417</v>
      </c>
      <c r="O3333" s="338" t="s">
        <v>409</v>
      </c>
      <c r="P3333" s="338" t="s">
        <v>443</v>
      </c>
    </row>
    <row r="3334" spans="2:16" x14ac:dyDescent="0.25">
      <c r="B3334" s="336" t="s">
        <v>416</v>
      </c>
      <c r="C3334" s="337">
        <v>39249</v>
      </c>
      <c r="D3334" s="338" t="s">
        <v>3429</v>
      </c>
      <c r="E3334" s="336" t="s">
        <v>3428</v>
      </c>
      <c r="F3334" s="338" t="s">
        <v>2964</v>
      </c>
      <c r="G3334" s="338">
        <v>187.34</v>
      </c>
      <c r="H3334" s="338" t="s">
        <v>412</v>
      </c>
      <c r="I3334" s="338" t="s">
        <v>411</v>
      </c>
      <c r="J3334" s="339"/>
      <c r="K3334" s="339"/>
      <c r="L3334" s="339">
        <v>1.9442999999999999</v>
      </c>
      <c r="M3334" s="339">
        <v>3.9307300000000001</v>
      </c>
      <c r="N3334" s="338" t="s">
        <v>417</v>
      </c>
      <c r="O3334" s="338" t="s">
        <v>417</v>
      </c>
      <c r="P3334" s="338"/>
    </row>
    <row r="3335" spans="2:16" x14ac:dyDescent="0.25">
      <c r="B3335" s="336" t="s">
        <v>416</v>
      </c>
      <c r="C3335" s="337">
        <v>39249</v>
      </c>
      <c r="D3335" s="338" t="s">
        <v>3427</v>
      </c>
      <c r="E3335" s="336" t="s">
        <v>3426</v>
      </c>
      <c r="F3335" s="338"/>
      <c r="G3335" s="338" t="s">
        <v>413</v>
      </c>
      <c r="H3335" s="338" t="s">
        <v>412</v>
      </c>
      <c r="I3335" s="338" t="s">
        <v>411</v>
      </c>
      <c r="J3335" s="339"/>
      <c r="K3335" s="339"/>
      <c r="L3335" s="339" t="s">
        <v>409</v>
      </c>
      <c r="M3335" s="339" t="s">
        <v>409</v>
      </c>
      <c r="N3335" s="338" t="s">
        <v>417</v>
      </c>
      <c r="O3335" s="338" t="s">
        <v>409</v>
      </c>
      <c r="P3335" s="338" t="s">
        <v>417</v>
      </c>
    </row>
    <row r="3336" spans="2:16" x14ac:dyDescent="0.25">
      <c r="B3336" s="336" t="s">
        <v>416</v>
      </c>
      <c r="C3336" s="337">
        <v>39248</v>
      </c>
      <c r="D3336" s="338" t="s">
        <v>3425</v>
      </c>
      <c r="E3336" s="336" t="s">
        <v>2402</v>
      </c>
      <c r="F3336" s="338"/>
      <c r="G3336" s="338">
        <v>120</v>
      </c>
      <c r="H3336" s="338" t="s">
        <v>425</v>
      </c>
      <c r="I3336" s="338" t="s">
        <v>411</v>
      </c>
      <c r="J3336" s="339"/>
      <c r="K3336" s="339"/>
      <c r="L3336" s="339" t="s">
        <v>409</v>
      </c>
      <c r="M3336" s="339" t="s">
        <v>409</v>
      </c>
      <c r="N3336" s="338"/>
      <c r="O3336" s="338" t="s">
        <v>409</v>
      </c>
      <c r="P3336" s="338" t="s">
        <v>417</v>
      </c>
    </row>
    <row r="3337" spans="2:16" x14ac:dyDescent="0.25">
      <c r="B3337" s="336" t="s">
        <v>416</v>
      </c>
      <c r="C3337" s="337">
        <v>39247</v>
      </c>
      <c r="D3337" s="338" t="s">
        <v>3424</v>
      </c>
      <c r="E3337" s="336" t="s">
        <v>2560</v>
      </c>
      <c r="F3337" s="338" t="s">
        <v>3423</v>
      </c>
      <c r="G3337" s="338" t="s">
        <v>413</v>
      </c>
      <c r="H3337" s="338" t="s">
        <v>425</v>
      </c>
      <c r="I3337" s="338" t="s">
        <v>411</v>
      </c>
      <c r="J3337" s="339"/>
      <c r="K3337" s="339"/>
      <c r="L3337" s="339"/>
      <c r="M3337" s="339"/>
      <c r="N3337" s="338"/>
      <c r="O3337" s="338" t="s">
        <v>432</v>
      </c>
      <c r="P3337" s="338" t="s">
        <v>432</v>
      </c>
    </row>
    <row r="3338" spans="2:16" x14ac:dyDescent="0.25">
      <c r="B3338" s="336" t="s">
        <v>416</v>
      </c>
      <c r="C3338" s="337">
        <v>39246</v>
      </c>
      <c r="D3338" s="338" t="s">
        <v>3422</v>
      </c>
      <c r="E3338" s="336" t="s">
        <v>3421</v>
      </c>
      <c r="F3338" s="338"/>
      <c r="G3338" s="338">
        <v>2.7</v>
      </c>
      <c r="H3338" s="338" t="s">
        <v>425</v>
      </c>
      <c r="I3338" s="338" t="s">
        <v>411</v>
      </c>
      <c r="J3338" s="339">
        <v>0.75670800000000005</v>
      </c>
      <c r="K3338" s="339">
        <v>2.0253299999999999</v>
      </c>
      <c r="L3338" s="339" t="s">
        <v>409</v>
      </c>
      <c r="M3338" s="339" t="s">
        <v>409</v>
      </c>
      <c r="N3338" s="338" t="s">
        <v>417</v>
      </c>
      <c r="O3338" s="338" t="s">
        <v>409</v>
      </c>
      <c r="P3338" s="338" t="s">
        <v>543</v>
      </c>
    </row>
    <row r="3339" spans="2:16" x14ac:dyDescent="0.25">
      <c r="B3339" s="336" t="s">
        <v>416</v>
      </c>
      <c r="C3339" s="337">
        <v>39246</v>
      </c>
      <c r="D3339" s="338" t="s">
        <v>3420</v>
      </c>
      <c r="E3339" s="336" t="s">
        <v>3419</v>
      </c>
      <c r="F3339" s="338"/>
      <c r="G3339" s="338">
        <v>96</v>
      </c>
      <c r="H3339" s="338" t="s">
        <v>425</v>
      </c>
      <c r="I3339" s="338" t="s">
        <v>411</v>
      </c>
      <c r="J3339" s="339"/>
      <c r="K3339" s="339"/>
      <c r="L3339" s="339" t="s">
        <v>409</v>
      </c>
      <c r="M3339" s="339" t="s">
        <v>409</v>
      </c>
      <c r="N3339" s="338" t="s">
        <v>417</v>
      </c>
      <c r="O3339" s="338" t="s">
        <v>409</v>
      </c>
      <c r="P3339" s="338" t="s">
        <v>417</v>
      </c>
    </row>
    <row r="3340" spans="2:16" x14ac:dyDescent="0.25">
      <c r="B3340" s="336" t="s">
        <v>416</v>
      </c>
      <c r="C3340" s="337">
        <v>39246</v>
      </c>
      <c r="D3340" s="338" t="s">
        <v>3418</v>
      </c>
      <c r="E3340" s="336" t="s">
        <v>2012</v>
      </c>
      <c r="F3340" s="338" t="s">
        <v>3417</v>
      </c>
      <c r="G3340" s="338" t="s">
        <v>413</v>
      </c>
      <c r="H3340" s="338" t="s">
        <v>425</v>
      </c>
      <c r="I3340" s="338" t="s">
        <v>411</v>
      </c>
      <c r="J3340" s="339"/>
      <c r="K3340" s="339"/>
      <c r="L3340" s="339"/>
      <c r="M3340" s="339"/>
      <c r="N3340" s="338"/>
      <c r="O3340" s="338" t="s">
        <v>410</v>
      </c>
      <c r="P3340" s="338" t="s">
        <v>410</v>
      </c>
    </row>
    <row r="3341" spans="2:16" x14ac:dyDescent="0.25">
      <c r="B3341" s="336" t="s">
        <v>1441</v>
      </c>
      <c r="C3341" s="337">
        <v>39246</v>
      </c>
      <c r="D3341" s="338" t="s">
        <v>3416</v>
      </c>
      <c r="E3341" s="336" t="s">
        <v>1107</v>
      </c>
      <c r="F3341" s="338"/>
      <c r="G3341" s="338" t="s">
        <v>413</v>
      </c>
      <c r="H3341" s="338" t="s">
        <v>412</v>
      </c>
      <c r="I3341" s="338" t="s">
        <v>411</v>
      </c>
      <c r="J3341" s="339"/>
      <c r="K3341" s="339"/>
      <c r="L3341" s="339" t="s">
        <v>409</v>
      </c>
      <c r="M3341" s="339" t="s">
        <v>409</v>
      </c>
      <c r="N3341" s="338" t="s">
        <v>417</v>
      </c>
      <c r="O3341" s="338" t="s">
        <v>409</v>
      </c>
      <c r="P3341" s="338" t="s">
        <v>417</v>
      </c>
    </row>
    <row r="3342" spans="2:16" x14ac:dyDescent="0.25">
      <c r="B3342" s="336" t="s">
        <v>1441</v>
      </c>
      <c r="C3342" s="337">
        <v>39246</v>
      </c>
      <c r="D3342" s="338" t="s">
        <v>939</v>
      </c>
      <c r="E3342" s="336" t="s">
        <v>3415</v>
      </c>
      <c r="F3342" s="338"/>
      <c r="G3342" s="338" t="s">
        <v>413</v>
      </c>
      <c r="H3342" s="338" t="s">
        <v>412</v>
      </c>
      <c r="I3342" s="338" t="s">
        <v>411</v>
      </c>
      <c r="J3342" s="339"/>
      <c r="K3342" s="339"/>
      <c r="L3342" s="339" t="s">
        <v>409</v>
      </c>
      <c r="M3342" s="339" t="s">
        <v>409</v>
      </c>
      <c r="N3342" s="338"/>
      <c r="O3342" s="338" t="s">
        <v>409</v>
      </c>
      <c r="P3342" s="338" t="s">
        <v>432</v>
      </c>
    </row>
    <row r="3343" spans="2:16" x14ac:dyDescent="0.25">
      <c r="B3343" s="336" t="s">
        <v>416</v>
      </c>
      <c r="C3343" s="337">
        <v>39245</v>
      </c>
      <c r="D3343" s="338" t="s">
        <v>956</v>
      </c>
      <c r="E3343" s="336" t="s">
        <v>436</v>
      </c>
      <c r="F3343" s="338" t="s">
        <v>3414</v>
      </c>
      <c r="G3343" s="338">
        <v>80</v>
      </c>
      <c r="H3343" s="338" t="s">
        <v>425</v>
      </c>
      <c r="I3343" s="338" t="s">
        <v>411</v>
      </c>
      <c r="J3343" s="339"/>
      <c r="K3343" s="339"/>
      <c r="L3343" s="339"/>
      <c r="M3343" s="339"/>
      <c r="N3343" s="338"/>
      <c r="O3343" s="338"/>
      <c r="P3343" s="338" t="s">
        <v>417</v>
      </c>
    </row>
    <row r="3344" spans="2:16" x14ac:dyDescent="0.25">
      <c r="B3344" s="336" t="s">
        <v>416</v>
      </c>
      <c r="C3344" s="337">
        <v>39244</v>
      </c>
      <c r="D3344" s="338" t="s">
        <v>3413</v>
      </c>
      <c r="E3344" s="336" t="s">
        <v>746</v>
      </c>
      <c r="F3344" s="338"/>
      <c r="G3344" s="338" t="s">
        <v>413</v>
      </c>
      <c r="H3344" s="338" t="s">
        <v>412</v>
      </c>
      <c r="I3344" s="338" t="s">
        <v>411</v>
      </c>
      <c r="J3344" s="339"/>
      <c r="K3344" s="339"/>
      <c r="L3344" s="339" t="s">
        <v>409</v>
      </c>
      <c r="M3344" s="339" t="s">
        <v>409</v>
      </c>
      <c r="N3344" s="338"/>
      <c r="O3344" s="338" t="s">
        <v>409</v>
      </c>
      <c r="P3344" s="338" t="s">
        <v>417</v>
      </c>
    </row>
    <row r="3345" spans="2:16" x14ac:dyDescent="0.25">
      <c r="B3345" s="336" t="s">
        <v>416</v>
      </c>
      <c r="C3345" s="337">
        <v>39244</v>
      </c>
      <c r="D3345" s="338" t="s">
        <v>3412</v>
      </c>
      <c r="E3345" s="336" t="s">
        <v>3411</v>
      </c>
      <c r="F3345" s="338"/>
      <c r="G3345" s="338">
        <v>38.4</v>
      </c>
      <c r="H3345" s="338" t="s">
        <v>425</v>
      </c>
      <c r="I3345" s="338" t="s">
        <v>411</v>
      </c>
      <c r="J3345" s="339">
        <v>0.78440699999999997</v>
      </c>
      <c r="K3345" s="339">
        <v>9.0221400000000003</v>
      </c>
      <c r="L3345" s="339" t="s">
        <v>409</v>
      </c>
      <c r="M3345" s="339" t="s">
        <v>409</v>
      </c>
      <c r="N3345" s="338" t="s">
        <v>417</v>
      </c>
      <c r="O3345" s="338" t="s">
        <v>409</v>
      </c>
      <c r="P3345" s="338" t="s">
        <v>443</v>
      </c>
    </row>
    <row r="3346" spans="2:16" x14ac:dyDescent="0.25">
      <c r="B3346" s="336" t="s">
        <v>416</v>
      </c>
      <c r="C3346" s="337">
        <v>39244</v>
      </c>
      <c r="D3346" s="338" t="s">
        <v>3410</v>
      </c>
      <c r="E3346" s="336" t="s">
        <v>3409</v>
      </c>
      <c r="F3346" s="338"/>
      <c r="G3346" s="338" t="s">
        <v>413</v>
      </c>
      <c r="H3346" s="338" t="s">
        <v>412</v>
      </c>
      <c r="I3346" s="338" t="s">
        <v>411</v>
      </c>
      <c r="J3346" s="339"/>
      <c r="K3346" s="339"/>
      <c r="L3346" s="339" t="s">
        <v>409</v>
      </c>
      <c r="M3346" s="339" t="s">
        <v>409</v>
      </c>
      <c r="N3346" s="338"/>
      <c r="O3346" s="338" t="s">
        <v>409</v>
      </c>
      <c r="P3346" s="338" t="s">
        <v>443</v>
      </c>
    </row>
    <row r="3347" spans="2:16" x14ac:dyDescent="0.25">
      <c r="B3347" s="336" t="s">
        <v>416</v>
      </c>
      <c r="C3347" s="337">
        <v>39244</v>
      </c>
      <c r="D3347" s="338" t="s">
        <v>3408</v>
      </c>
      <c r="E3347" s="336" t="s">
        <v>3407</v>
      </c>
      <c r="F3347" s="338"/>
      <c r="G3347" s="338" t="s">
        <v>413</v>
      </c>
      <c r="H3347" s="338" t="s">
        <v>425</v>
      </c>
      <c r="I3347" s="338" t="s">
        <v>411</v>
      </c>
      <c r="J3347" s="339"/>
      <c r="K3347" s="339"/>
      <c r="L3347" s="339" t="s">
        <v>409</v>
      </c>
      <c r="M3347" s="339" t="s">
        <v>409</v>
      </c>
      <c r="N3347" s="338" t="s">
        <v>432</v>
      </c>
      <c r="O3347" s="338" t="s">
        <v>409</v>
      </c>
      <c r="P3347" s="338" t="s">
        <v>543</v>
      </c>
    </row>
    <row r="3348" spans="2:16" x14ac:dyDescent="0.25">
      <c r="B3348" s="336" t="s">
        <v>416</v>
      </c>
      <c r="C3348" s="337">
        <v>39241</v>
      </c>
      <c r="D3348" s="338" t="s">
        <v>3406</v>
      </c>
      <c r="E3348" s="336" t="s">
        <v>3405</v>
      </c>
      <c r="F3348" s="338" t="s">
        <v>2034</v>
      </c>
      <c r="G3348" s="338">
        <v>3.25</v>
      </c>
      <c r="H3348" s="338" t="s">
        <v>425</v>
      </c>
      <c r="I3348" s="338" t="s">
        <v>411</v>
      </c>
      <c r="J3348" s="339">
        <v>0.54575300000000004</v>
      </c>
      <c r="K3348" s="339">
        <v>5.4080199999999996</v>
      </c>
      <c r="L3348" s="339">
        <v>2.5506700000000002</v>
      </c>
      <c r="M3348" s="339">
        <v>15.352600000000001</v>
      </c>
      <c r="N3348" s="338" t="s">
        <v>417</v>
      </c>
      <c r="O3348" s="338" t="s">
        <v>417</v>
      </c>
      <c r="P3348" s="338" t="s">
        <v>443</v>
      </c>
    </row>
    <row r="3349" spans="2:16" x14ac:dyDescent="0.25">
      <c r="B3349" s="336" t="s">
        <v>416</v>
      </c>
      <c r="C3349" s="337">
        <v>39240</v>
      </c>
      <c r="D3349" s="338" t="s">
        <v>3404</v>
      </c>
      <c r="E3349" s="336" t="s">
        <v>2341</v>
      </c>
      <c r="F3349" s="338"/>
      <c r="G3349" s="338">
        <v>52</v>
      </c>
      <c r="H3349" s="338" t="s">
        <v>425</v>
      </c>
      <c r="I3349" s="338" t="s">
        <v>411</v>
      </c>
      <c r="J3349" s="339"/>
      <c r="K3349" s="339"/>
      <c r="L3349" s="339" t="s">
        <v>409</v>
      </c>
      <c r="M3349" s="339" t="s">
        <v>409</v>
      </c>
      <c r="N3349" s="338"/>
      <c r="O3349" s="338" t="s">
        <v>409</v>
      </c>
      <c r="P3349" s="338" t="s">
        <v>417</v>
      </c>
    </row>
    <row r="3350" spans="2:16" x14ac:dyDescent="0.25">
      <c r="B3350" s="336" t="s">
        <v>416</v>
      </c>
      <c r="C3350" s="337">
        <v>39240</v>
      </c>
      <c r="D3350" s="338" t="s">
        <v>3403</v>
      </c>
      <c r="E3350" s="336" t="s">
        <v>3402</v>
      </c>
      <c r="F3350" s="338"/>
      <c r="G3350" s="338">
        <v>12.9</v>
      </c>
      <c r="H3350" s="338" t="s">
        <v>425</v>
      </c>
      <c r="I3350" s="338" t="s">
        <v>411</v>
      </c>
      <c r="J3350" s="339"/>
      <c r="K3350" s="339"/>
      <c r="L3350" s="339" t="s">
        <v>409</v>
      </c>
      <c r="M3350" s="339" t="s">
        <v>409</v>
      </c>
      <c r="N3350" s="338"/>
      <c r="O3350" s="338" t="s">
        <v>409</v>
      </c>
      <c r="P3350" s="338" t="s">
        <v>443</v>
      </c>
    </row>
    <row r="3351" spans="2:16" x14ac:dyDescent="0.25">
      <c r="B3351" s="336" t="s">
        <v>416</v>
      </c>
      <c r="C3351" s="337">
        <v>39240</v>
      </c>
      <c r="D3351" s="338" t="s">
        <v>3401</v>
      </c>
      <c r="E3351" s="336" t="s">
        <v>1484</v>
      </c>
      <c r="F3351" s="338" t="s">
        <v>1712</v>
      </c>
      <c r="G3351" s="338">
        <v>24</v>
      </c>
      <c r="H3351" s="338" t="s">
        <v>425</v>
      </c>
      <c r="I3351" s="338" t="s">
        <v>411</v>
      </c>
      <c r="J3351" s="339"/>
      <c r="K3351" s="339"/>
      <c r="L3351" s="339">
        <v>0.69886999999999999</v>
      </c>
      <c r="M3351" s="339"/>
      <c r="N3351" s="338"/>
      <c r="O3351" s="338" t="s">
        <v>417</v>
      </c>
      <c r="P3351" s="338" t="s">
        <v>443</v>
      </c>
    </row>
    <row r="3352" spans="2:16" x14ac:dyDescent="0.25">
      <c r="B3352" s="336" t="s">
        <v>459</v>
      </c>
      <c r="C3352" s="337">
        <v>39239</v>
      </c>
      <c r="D3352" s="338" t="s">
        <v>3400</v>
      </c>
      <c r="E3352" s="336" t="s">
        <v>3399</v>
      </c>
      <c r="F3352" s="338"/>
      <c r="G3352" s="338">
        <v>20</v>
      </c>
      <c r="H3352" s="338" t="s">
        <v>425</v>
      </c>
      <c r="I3352" s="338" t="s">
        <v>411</v>
      </c>
      <c r="J3352" s="339"/>
      <c r="K3352" s="339"/>
      <c r="L3352" s="339" t="s">
        <v>409</v>
      </c>
      <c r="M3352" s="339" t="s">
        <v>409</v>
      </c>
      <c r="N3352" s="338" t="s">
        <v>487</v>
      </c>
      <c r="O3352" s="338" t="s">
        <v>409</v>
      </c>
      <c r="P3352" s="338"/>
    </row>
    <row r="3353" spans="2:16" x14ac:dyDescent="0.25">
      <c r="B3353" s="336" t="s">
        <v>416</v>
      </c>
      <c r="C3353" s="337">
        <v>39239</v>
      </c>
      <c r="D3353" s="338" t="s">
        <v>3398</v>
      </c>
      <c r="E3353" s="336" t="s">
        <v>3392</v>
      </c>
      <c r="F3353" s="338" t="s">
        <v>889</v>
      </c>
      <c r="G3353" s="338" t="s">
        <v>413</v>
      </c>
      <c r="H3353" s="338" t="s">
        <v>425</v>
      </c>
      <c r="I3353" s="338" t="s">
        <v>411</v>
      </c>
      <c r="J3353" s="339"/>
      <c r="K3353" s="339"/>
      <c r="L3353" s="339">
        <v>2.9470299999999998</v>
      </c>
      <c r="M3353" s="339">
        <v>13.790100000000001</v>
      </c>
      <c r="N3353" s="338" t="s">
        <v>487</v>
      </c>
      <c r="O3353" s="338" t="s">
        <v>410</v>
      </c>
      <c r="P3353" s="338" t="s">
        <v>443</v>
      </c>
    </row>
    <row r="3354" spans="2:16" x14ac:dyDescent="0.25">
      <c r="B3354" s="336" t="s">
        <v>416</v>
      </c>
      <c r="C3354" s="337">
        <v>39239</v>
      </c>
      <c r="D3354" s="338" t="s">
        <v>3397</v>
      </c>
      <c r="E3354" s="336" t="s">
        <v>2683</v>
      </c>
      <c r="F3354" s="338"/>
      <c r="G3354" s="338" t="s">
        <v>413</v>
      </c>
      <c r="H3354" s="338" t="s">
        <v>425</v>
      </c>
      <c r="I3354" s="338" t="s">
        <v>411</v>
      </c>
      <c r="J3354" s="339"/>
      <c r="K3354" s="339"/>
      <c r="L3354" s="339" t="s">
        <v>409</v>
      </c>
      <c r="M3354" s="339" t="s">
        <v>409</v>
      </c>
      <c r="N3354" s="338"/>
      <c r="O3354" s="338" t="s">
        <v>409</v>
      </c>
      <c r="P3354" s="338" t="s">
        <v>432</v>
      </c>
    </row>
    <row r="3355" spans="2:16" x14ac:dyDescent="0.25">
      <c r="B3355" s="336" t="s">
        <v>416</v>
      </c>
      <c r="C3355" s="337">
        <v>39239</v>
      </c>
      <c r="D3355" s="338" t="s">
        <v>3396</v>
      </c>
      <c r="E3355" s="336" t="s">
        <v>3395</v>
      </c>
      <c r="F3355" s="338" t="s">
        <v>3394</v>
      </c>
      <c r="G3355" s="338">
        <v>15.2</v>
      </c>
      <c r="H3355" s="338" t="s">
        <v>425</v>
      </c>
      <c r="I3355" s="338" t="s">
        <v>411</v>
      </c>
      <c r="J3355" s="339"/>
      <c r="K3355" s="339"/>
      <c r="L3355" s="339">
        <v>0.27463700000000002</v>
      </c>
      <c r="M3355" s="339">
        <v>4.68004</v>
      </c>
      <c r="N3355" s="338" t="s">
        <v>417</v>
      </c>
      <c r="O3355" s="338" t="s">
        <v>417</v>
      </c>
      <c r="P3355" s="338" t="s">
        <v>443</v>
      </c>
    </row>
    <row r="3356" spans="2:16" x14ac:dyDescent="0.25">
      <c r="B3356" s="336" t="s">
        <v>416</v>
      </c>
      <c r="C3356" s="337">
        <v>39239</v>
      </c>
      <c r="D3356" s="338" t="s">
        <v>3393</v>
      </c>
      <c r="E3356" s="336" t="s">
        <v>3392</v>
      </c>
      <c r="F3356" s="338" t="s">
        <v>889</v>
      </c>
      <c r="G3356" s="338" t="s">
        <v>413</v>
      </c>
      <c r="H3356" s="338" t="s">
        <v>425</v>
      </c>
      <c r="I3356" s="338" t="s">
        <v>411</v>
      </c>
      <c r="J3356" s="339"/>
      <c r="K3356" s="339"/>
      <c r="L3356" s="339">
        <v>2.9470299999999998</v>
      </c>
      <c r="M3356" s="339">
        <v>13.790100000000001</v>
      </c>
      <c r="N3356" s="338" t="s">
        <v>410</v>
      </c>
      <c r="O3356" s="338" t="s">
        <v>410</v>
      </c>
      <c r="P3356" s="338" t="s">
        <v>443</v>
      </c>
    </row>
    <row r="3357" spans="2:16" x14ac:dyDescent="0.25">
      <c r="B3357" s="336" t="s">
        <v>416</v>
      </c>
      <c r="C3357" s="337">
        <v>39239</v>
      </c>
      <c r="D3357" s="338" t="s">
        <v>3391</v>
      </c>
      <c r="E3357" s="336" t="s">
        <v>3390</v>
      </c>
      <c r="F3357" s="338"/>
      <c r="G3357" s="338" t="s">
        <v>413</v>
      </c>
      <c r="H3357" s="338" t="s">
        <v>412</v>
      </c>
      <c r="I3357" s="338" t="s">
        <v>411</v>
      </c>
      <c r="J3357" s="339"/>
      <c r="K3357" s="339"/>
      <c r="L3357" s="339" t="s">
        <v>409</v>
      </c>
      <c r="M3357" s="339" t="s">
        <v>409</v>
      </c>
      <c r="N3357" s="338" t="s">
        <v>417</v>
      </c>
      <c r="O3357" s="338" t="s">
        <v>409</v>
      </c>
      <c r="P3357" s="338" t="s">
        <v>410</v>
      </c>
    </row>
    <row r="3358" spans="2:16" x14ac:dyDescent="0.25">
      <c r="B3358" s="336" t="s">
        <v>416</v>
      </c>
      <c r="C3358" s="337">
        <v>39238</v>
      </c>
      <c r="D3358" s="338" t="s">
        <v>3389</v>
      </c>
      <c r="E3358" s="336" t="s">
        <v>3388</v>
      </c>
      <c r="F3358" s="338" t="s">
        <v>1529</v>
      </c>
      <c r="G3358" s="338">
        <v>135</v>
      </c>
      <c r="H3358" s="338" t="s">
        <v>425</v>
      </c>
      <c r="I3358" s="338" t="s">
        <v>411</v>
      </c>
      <c r="J3358" s="339"/>
      <c r="K3358" s="339"/>
      <c r="L3358" s="339">
        <v>0.75357200000000002</v>
      </c>
      <c r="M3358" s="339">
        <v>6.8961800000000002</v>
      </c>
      <c r="N3358" s="338"/>
      <c r="O3358" s="338" t="s">
        <v>410</v>
      </c>
      <c r="P3358" s="338" t="s">
        <v>410</v>
      </c>
    </row>
    <row r="3359" spans="2:16" x14ac:dyDescent="0.25">
      <c r="B3359" s="336" t="s">
        <v>416</v>
      </c>
      <c r="C3359" s="337">
        <v>39238</v>
      </c>
      <c r="D3359" s="338" t="s">
        <v>3387</v>
      </c>
      <c r="E3359" s="336" t="s">
        <v>1951</v>
      </c>
      <c r="F3359" s="338"/>
      <c r="G3359" s="338" t="s">
        <v>413</v>
      </c>
      <c r="H3359" s="338" t="s">
        <v>425</v>
      </c>
      <c r="I3359" s="338" t="s">
        <v>411</v>
      </c>
      <c r="J3359" s="339"/>
      <c r="K3359" s="339"/>
      <c r="L3359" s="339" t="s">
        <v>409</v>
      </c>
      <c r="M3359" s="339" t="s">
        <v>409</v>
      </c>
      <c r="N3359" s="338"/>
      <c r="O3359" s="338" t="s">
        <v>409</v>
      </c>
      <c r="P3359" s="338" t="s">
        <v>417</v>
      </c>
    </row>
    <row r="3360" spans="2:16" x14ac:dyDescent="0.25">
      <c r="B3360" s="336" t="s">
        <v>416</v>
      </c>
      <c r="C3360" s="337">
        <v>39237</v>
      </c>
      <c r="D3360" s="338" t="s">
        <v>3386</v>
      </c>
      <c r="E3360" s="336" t="s">
        <v>1006</v>
      </c>
      <c r="F3360" s="338"/>
      <c r="G3360" s="338" t="s">
        <v>413</v>
      </c>
      <c r="H3360" s="338" t="s">
        <v>412</v>
      </c>
      <c r="I3360" s="338" t="s">
        <v>411</v>
      </c>
      <c r="J3360" s="339"/>
      <c r="K3360" s="339"/>
      <c r="L3360" s="339" t="s">
        <v>409</v>
      </c>
      <c r="M3360" s="339" t="s">
        <v>409</v>
      </c>
      <c r="N3360" s="338" t="s">
        <v>885</v>
      </c>
      <c r="O3360" s="338" t="s">
        <v>409</v>
      </c>
      <c r="P3360" s="338" t="s">
        <v>417</v>
      </c>
    </row>
    <row r="3361" spans="2:16" x14ac:dyDescent="0.25">
      <c r="B3361" s="336" t="s">
        <v>416</v>
      </c>
      <c r="C3361" s="337">
        <v>39234</v>
      </c>
      <c r="D3361" s="338" t="s">
        <v>3385</v>
      </c>
      <c r="E3361" s="336" t="s">
        <v>3384</v>
      </c>
      <c r="F3361" s="338"/>
      <c r="G3361" s="338">
        <v>190</v>
      </c>
      <c r="H3361" s="338" t="s">
        <v>425</v>
      </c>
      <c r="I3361" s="338" t="s">
        <v>411</v>
      </c>
      <c r="J3361" s="339"/>
      <c r="K3361" s="339"/>
      <c r="L3361" s="339" t="s">
        <v>409</v>
      </c>
      <c r="M3361" s="339" t="s">
        <v>409</v>
      </c>
      <c r="N3361" s="338" t="s">
        <v>417</v>
      </c>
      <c r="O3361" s="338" t="s">
        <v>409</v>
      </c>
      <c r="P3361" s="338" t="s">
        <v>443</v>
      </c>
    </row>
    <row r="3362" spans="2:16" x14ac:dyDescent="0.25">
      <c r="B3362" s="336" t="s">
        <v>416</v>
      </c>
      <c r="C3362" s="337">
        <v>39233</v>
      </c>
      <c r="D3362" s="338" t="s">
        <v>3383</v>
      </c>
      <c r="E3362" s="336" t="s">
        <v>2669</v>
      </c>
      <c r="F3362" s="338"/>
      <c r="G3362" s="338" t="s">
        <v>413</v>
      </c>
      <c r="H3362" s="338" t="s">
        <v>425</v>
      </c>
      <c r="I3362" s="338" t="s">
        <v>411</v>
      </c>
      <c r="J3362" s="339"/>
      <c r="K3362" s="339"/>
      <c r="L3362" s="339" t="s">
        <v>409</v>
      </c>
      <c r="M3362" s="339" t="s">
        <v>409</v>
      </c>
      <c r="N3362" s="338" t="s">
        <v>417</v>
      </c>
      <c r="O3362" s="338" t="s">
        <v>409</v>
      </c>
      <c r="P3362" s="338" t="s">
        <v>417</v>
      </c>
    </row>
    <row r="3363" spans="2:16" x14ac:dyDescent="0.25">
      <c r="B3363" s="336" t="s">
        <v>459</v>
      </c>
      <c r="C3363" s="337">
        <v>39233</v>
      </c>
      <c r="D3363" s="338" t="s">
        <v>3382</v>
      </c>
      <c r="E3363" s="336" t="s">
        <v>2039</v>
      </c>
      <c r="F3363" s="338"/>
      <c r="G3363" s="338" t="s">
        <v>413</v>
      </c>
      <c r="H3363" s="338" t="s">
        <v>425</v>
      </c>
      <c r="I3363" s="338" t="s">
        <v>411</v>
      </c>
      <c r="J3363" s="339"/>
      <c r="K3363" s="339"/>
      <c r="L3363" s="339" t="s">
        <v>409</v>
      </c>
      <c r="M3363" s="339" t="s">
        <v>409</v>
      </c>
      <c r="N3363" s="338" t="s">
        <v>410</v>
      </c>
      <c r="O3363" s="338" t="s">
        <v>409</v>
      </c>
      <c r="P3363" s="338"/>
    </row>
    <row r="3364" spans="2:16" x14ac:dyDescent="0.25">
      <c r="B3364" s="336" t="s">
        <v>416</v>
      </c>
      <c r="C3364" s="337">
        <v>39233</v>
      </c>
      <c r="D3364" s="338" t="s">
        <v>3381</v>
      </c>
      <c r="E3364" s="336" t="s">
        <v>468</v>
      </c>
      <c r="F3364" s="338" t="s">
        <v>3380</v>
      </c>
      <c r="G3364" s="338" t="s">
        <v>413</v>
      </c>
      <c r="H3364" s="338" t="s">
        <v>412</v>
      </c>
      <c r="I3364" s="338" t="s">
        <v>411</v>
      </c>
      <c r="J3364" s="339"/>
      <c r="K3364" s="339"/>
      <c r="L3364" s="339">
        <v>0.17028099999999999</v>
      </c>
      <c r="M3364" s="339">
        <v>8.5561699999999998</v>
      </c>
      <c r="N3364" s="338" t="s">
        <v>417</v>
      </c>
      <c r="O3364" s="338" t="s">
        <v>410</v>
      </c>
      <c r="P3364" s="338" t="s">
        <v>443</v>
      </c>
    </row>
    <row r="3365" spans="2:16" x14ac:dyDescent="0.25">
      <c r="B3365" s="336" t="s">
        <v>416</v>
      </c>
      <c r="C3365" s="337">
        <v>39233</v>
      </c>
      <c r="D3365" s="338" t="s">
        <v>3379</v>
      </c>
      <c r="E3365" s="336" t="s">
        <v>1470</v>
      </c>
      <c r="F3365" s="338"/>
      <c r="G3365" s="338" t="s">
        <v>413</v>
      </c>
      <c r="H3365" s="338" t="s">
        <v>412</v>
      </c>
      <c r="I3365" s="338" t="s">
        <v>411</v>
      </c>
      <c r="J3365" s="339"/>
      <c r="K3365" s="339"/>
      <c r="L3365" s="339" t="s">
        <v>409</v>
      </c>
      <c r="M3365" s="339" t="s">
        <v>409</v>
      </c>
      <c r="N3365" s="338" t="s">
        <v>417</v>
      </c>
      <c r="O3365" s="338" t="s">
        <v>409</v>
      </c>
      <c r="P3365" s="338" t="s">
        <v>417</v>
      </c>
    </row>
    <row r="3366" spans="2:16" x14ac:dyDescent="0.25">
      <c r="B3366" s="336" t="s">
        <v>416</v>
      </c>
      <c r="C3366" s="337">
        <v>39232</v>
      </c>
      <c r="D3366" s="338" t="s">
        <v>3378</v>
      </c>
      <c r="E3366" s="336" t="s">
        <v>3377</v>
      </c>
      <c r="F3366" s="338" t="s">
        <v>444</v>
      </c>
      <c r="G3366" s="338" t="s">
        <v>413</v>
      </c>
      <c r="H3366" s="338" t="s">
        <v>412</v>
      </c>
      <c r="I3366" s="338" t="s">
        <v>411</v>
      </c>
      <c r="J3366" s="339"/>
      <c r="K3366" s="339"/>
      <c r="L3366" s="339"/>
      <c r="M3366" s="339"/>
      <c r="N3366" s="338" t="s">
        <v>417</v>
      </c>
      <c r="O3366" s="338" t="s">
        <v>417</v>
      </c>
      <c r="P3366" s="338"/>
    </row>
    <row r="3367" spans="2:16" x14ac:dyDescent="0.25">
      <c r="B3367" s="336" t="s">
        <v>416</v>
      </c>
      <c r="C3367" s="337">
        <v>39232</v>
      </c>
      <c r="D3367" s="338" t="s">
        <v>3376</v>
      </c>
      <c r="E3367" s="336" t="s">
        <v>3375</v>
      </c>
      <c r="F3367" s="338" t="s">
        <v>1644</v>
      </c>
      <c r="G3367" s="338" t="s">
        <v>413</v>
      </c>
      <c r="H3367" s="338" t="s">
        <v>412</v>
      </c>
      <c r="I3367" s="338" t="s">
        <v>411</v>
      </c>
      <c r="J3367" s="339"/>
      <c r="K3367" s="339"/>
      <c r="L3367" s="339">
        <v>3.5718299999999998</v>
      </c>
      <c r="M3367" s="339">
        <v>11.2796</v>
      </c>
      <c r="N3367" s="338" t="s">
        <v>417</v>
      </c>
      <c r="O3367" s="338" t="s">
        <v>432</v>
      </c>
      <c r="P3367" s="338" t="s">
        <v>417</v>
      </c>
    </row>
    <row r="3368" spans="2:16" x14ac:dyDescent="0.25">
      <c r="B3368" s="336" t="s">
        <v>416</v>
      </c>
      <c r="C3368" s="337">
        <v>39232</v>
      </c>
      <c r="D3368" s="338" t="s">
        <v>956</v>
      </c>
      <c r="E3368" s="336" t="s">
        <v>669</v>
      </c>
      <c r="F3368" s="338" t="s">
        <v>3374</v>
      </c>
      <c r="G3368" s="338" t="s">
        <v>413</v>
      </c>
      <c r="H3368" s="338" t="s">
        <v>425</v>
      </c>
      <c r="I3368" s="338" t="s">
        <v>411</v>
      </c>
      <c r="J3368" s="339"/>
      <c r="K3368" s="339"/>
      <c r="L3368" s="339">
        <v>1.65232</v>
      </c>
      <c r="M3368" s="339">
        <v>7.4900099999999998</v>
      </c>
      <c r="N3368" s="338"/>
      <c r="O3368" s="338" t="s">
        <v>487</v>
      </c>
      <c r="P3368" s="338"/>
    </row>
    <row r="3369" spans="2:16" x14ac:dyDescent="0.25">
      <c r="B3369" s="336" t="s">
        <v>416</v>
      </c>
      <c r="C3369" s="337">
        <v>39231</v>
      </c>
      <c r="D3369" s="338" t="s">
        <v>3373</v>
      </c>
      <c r="E3369" s="336" t="s">
        <v>761</v>
      </c>
      <c r="F3369" s="338" t="s">
        <v>3372</v>
      </c>
      <c r="G3369" s="338">
        <v>6.5</v>
      </c>
      <c r="H3369" s="338" t="s">
        <v>425</v>
      </c>
      <c r="I3369" s="338" t="s">
        <v>411</v>
      </c>
      <c r="J3369" s="339"/>
      <c r="K3369" s="339"/>
      <c r="L3369" s="339"/>
      <c r="M3369" s="339"/>
      <c r="N3369" s="338"/>
      <c r="O3369" s="338" t="s">
        <v>417</v>
      </c>
      <c r="P3369" s="338" t="s">
        <v>417</v>
      </c>
    </row>
    <row r="3370" spans="2:16" x14ac:dyDescent="0.25">
      <c r="B3370" s="336" t="s">
        <v>416</v>
      </c>
      <c r="C3370" s="337">
        <v>39231</v>
      </c>
      <c r="D3370" s="338" t="s">
        <v>3371</v>
      </c>
      <c r="E3370" s="336" t="s">
        <v>2671</v>
      </c>
      <c r="F3370" s="338"/>
      <c r="G3370" s="338">
        <v>3.54</v>
      </c>
      <c r="H3370" s="338" t="s">
        <v>425</v>
      </c>
      <c r="I3370" s="338" t="s">
        <v>411</v>
      </c>
      <c r="J3370" s="339"/>
      <c r="K3370" s="339"/>
      <c r="L3370" s="339" t="s">
        <v>409</v>
      </c>
      <c r="M3370" s="339" t="s">
        <v>409</v>
      </c>
      <c r="N3370" s="338" t="s">
        <v>417</v>
      </c>
      <c r="O3370" s="338" t="s">
        <v>409</v>
      </c>
      <c r="P3370" s="338" t="s">
        <v>417</v>
      </c>
    </row>
    <row r="3371" spans="2:16" x14ac:dyDescent="0.25">
      <c r="B3371" s="336" t="s">
        <v>416</v>
      </c>
      <c r="C3371" s="337">
        <v>39231</v>
      </c>
      <c r="D3371" s="338" t="s">
        <v>3370</v>
      </c>
      <c r="E3371" s="336" t="s">
        <v>2669</v>
      </c>
      <c r="F3371" s="338"/>
      <c r="G3371" s="338" t="s">
        <v>413</v>
      </c>
      <c r="H3371" s="338" t="s">
        <v>412</v>
      </c>
      <c r="I3371" s="338" t="s">
        <v>411</v>
      </c>
      <c r="J3371" s="339"/>
      <c r="K3371" s="339"/>
      <c r="L3371" s="339" t="s">
        <v>409</v>
      </c>
      <c r="M3371" s="339" t="s">
        <v>409</v>
      </c>
      <c r="N3371" s="338"/>
      <c r="O3371" s="338" t="s">
        <v>409</v>
      </c>
      <c r="P3371" s="338" t="s">
        <v>417</v>
      </c>
    </row>
    <row r="3372" spans="2:16" x14ac:dyDescent="0.25">
      <c r="B3372" s="336" t="s">
        <v>416</v>
      </c>
      <c r="C3372" s="337">
        <v>39230</v>
      </c>
      <c r="D3372" s="338" t="s">
        <v>3369</v>
      </c>
      <c r="E3372" s="336" t="s">
        <v>3368</v>
      </c>
      <c r="F3372" s="338" t="s">
        <v>3367</v>
      </c>
      <c r="G3372" s="338">
        <v>528</v>
      </c>
      <c r="H3372" s="338" t="s">
        <v>425</v>
      </c>
      <c r="I3372" s="338" t="s">
        <v>411</v>
      </c>
      <c r="J3372" s="339"/>
      <c r="K3372" s="339"/>
      <c r="L3372" s="339"/>
      <c r="M3372" s="339"/>
      <c r="N3372" s="338" t="s">
        <v>885</v>
      </c>
      <c r="O3372" s="338" t="s">
        <v>443</v>
      </c>
      <c r="P3372" s="338" t="s">
        <v>885</v>
      </c>
    </row>
    <row r="3373" spans="2:16" x14ac:dyDescent="0.25">
      <c r="B3373" s="336" t="s">
        <v>416</v>
      </c>
      <c r="C3373" s="337">
        <v>39226</v>
      </c>
      <c r="D3373" s="338" t="s">
        <v>3366</v>
      </c>
      <c r="E3373" s="336" t="s">
        <v>3365</v>
      </c>
      <c r="F3373" s="338"/>
      <c r="G3373" s="338" t="s">
        <v>413</v>
      </c>
      <c r="H3373" s="338" t="s">
        <v>425</v>
      </c>
      <c r="I3373" s="338" t="s">
        <v>411</v>
      </c>
      <c r="J3373" s="339"/>
      <c r="K3373" s="339"/>
      <c r="L3373" s="339" t="s">
        <v>409</v>
      </c>
      <c r="M3373" s="339" t="s">
        <v>409</v>
      </c>
      <c r="N3373" s="338"/>
      <c r="O3373" s="338" t="s">
        <v>409</v>
      </c>
      <c r="P3373" s="338" t="s">
        <v>443</v>
      </c>
    </row>
    <row r="3374" spans="2:16" x14ac:dyDescent="0.25">
      <c r="B3374" s="336" t="s">
        <v>416</v>
      </c>
      <c r="C3374" s="337">
        <v>39226</v>
      </c>
      <c r="D3374" s="338" t="s">
        <v>3364</v>
      </c>
      <c r="E3374" s="336" t="s">
        <v>3363</v>
      </c>
      <c r="F3374" s="338"/>
      <c r="G3374" s="338">
        <v>10.91</v>
      </c>
      <c r="H3374" s="338" t="s">
        <v>336</v>
      </c>
      <c r="I3374" s="338" t="s">
        <v>411</v>
      </c>
      <c r="J3374" s="339"/>
      <c r="K3374" s="339"/>
      <c r="L3374" s="339" t="s">
        <v>409</v>
      </c>
      <c r="M3374" s="339" t="s">
        <v>409</v>
      </c>
      <c r="N3374" s="338" t="s">
        <v>543</v>
      </c>
      <c r="O3374" s="338" t="s">
        <v>409</v>
      </c>
      <c r="P3374" s="338" t="s">
        <v>417</v>
      </c>
    </row>
    <row r="3375" spans="2:16" x14ac:dyDescent="0.25">
      <c r="B3375" s="336" t="s">
        <v>459</v>
      </c>
      <c r="C3375" s="337">
        <v>39226</v>
      </c>
      <c r="D3375" s="338" t="s">
        <v>3362</v>
      </c>
      <c r="E3375" s="336" t="s">
        <v>2648</v>
      </c>
      <c r="F3375" s="338"/>
      <c r="G3375" s="338">
        <v>85.78</v>
      </c>
      <c r="H3375" s="338" t="s">
        <v>425</v>
      </c>
      <c r="I3375" s="338" t="s">
        <v>411</v>
      </c>
      <c r="J3375" s="339"/>
      <c r="K3375" s="339"/>
      <c r="L3375" s="339" t="s">
        <v>409</v>
      </c>
      <c r="M3375" s="339" t="s">
        <v>409</v>
      </c>
      <c r="N3375" s="338" t="s">
        <v>417</v>
      </c>
      <c r="O3375" s="338" t="s">
        <v>409</v>
      </c>
      <c r="P3375" s="338" t="s">
        <v>443</v>
      </c>
    </row>
    <row r="3376" spans="2:16" x14ac:dyDescent="0.25">
      <c r="B3376" s="336" t="s">
        <v>416</v>
      </c>
      <c r="C3376" s="337">
        <v>39226</v>
      </c>
      <c r="D3376" s="338" t="s">
        <v>3361</v>
      </c>
      <c r="E3376" s="336" t="s">
        <v>3360</v>
      </c>
      <c r="F3376" s="338"/>
      <c r="G3376" s="338" t="s">
        <v>413</v>
      </c>
      <c r="H3376" s="338" t="s">
        <v>412</v>
      </c>
      <c r="I3376" s="338" t="s">
        <v>411</v>
      </c>
      <c r="J3376" s="339"/>
      <c r="K3376" s="339"/>
      <c r="L3376" s="339" t="s">
        <v>409</v>
      </c>
      <c r="M3376" s="339" t="s">
        <v>409</v>
      </c>
      <c r="N3376" s="338"/>
      <c r="O3376" s="338" t="s">
        <v>409</v>
      </c>
      <c r="P3376" s="338" t="s">
        <v>410</v>
      </c>
    </row>
    <row r="3377" spans="2:16" x14ac:dyDescent="0.25">
      <c r="B3377" s="336" t="s">
        <v>416</v>
      </c>
      <c r="C3377" s="337">
        <v>39226</v>
      </c>
      <c r="D3377" s="338" t="s">
        <v>3359</v>
      </c>
      <c r="E3377" s="336" t="s">
        <v>2501</v>
      </c>
      <c r="F3377" s="338"/>
      <c r="G3377" s="338" t="s">
        <v>413</v>
      </c>
      <c r="H3377" s="338" t="s">
        <v>412</v>
      </c>
      <c r="I3377" s="338" t="s">
        <v>411</v>
      </c>
      <c r="J3377" s="339"/>
      <c r="K3377" s="339"/>
      <c r="L3377" s="339" t="s">
        <v>409</v>
      </c>
      <c r="M3377" s="339" t="s">
        <v>409</v>
      </c>
      <c r="N3377" s="338" t="s">
        <v>487</v>
      </c>
      <c r="O3377" s="338" t="s">
        <v>409</v>
      </c>
      <c r="P3377" s="338" t="s">
        <v>417</v>
      </c>
    </row>
    <row r="3378" spans="2:16" x14ac:dyDescent="0.25">
      <c r="B3378" s="336" t="s">
        <v>416</v>
      </c>
      <c r="C3378" s="337">
        <v>39226</v>
      </c>
      <c r="D3378" s="338" t="s">
        <v>3358</v>
      </c>
      <c r="E3378" s="336" t="s">
        <v>468</v>
      </c>
      <c r="F3378" s="338"/>
      <c r="G3378" s="338" t="s">
        <v>413</v>
      </c>
      <c r="H3378" s="338" t="s">
        <v>425</v>
      </c>
      <c r="I3378" s="338" t="s">
        <v>411</v>
      </c>
      <c r="J3378" s="339"/>
      <c r="K3378" s="339"/>
      <c r="L3378" s="339" t="s">
        <v>409</v>
      </c>
      <c r="M3378" s="339" t="s">
        <v>409</v>
      </c>
      <c r="N3378" s="338" t="s">
        <v>417</v>
      </c>
      <c r="O3378" s="338" t="s">
        <v>409</v>
      </c>
      <c r="P3378" s="338" t="s">
        <v>443</v>
      </c>
    </row>
    <row r="3379" spans="2:16" x14ac:dyDescent="0.25">
      <c r="B3379" s="336" t="s">
        <v>416</v>
      </c>
      <c r="C3379" s="337">
        <v>39224</v>
      </c>
      <c r="D3379" s="338" t="s">
        <v>3357</v>
      </c>
      <c r="E3379" s="336" t="s">
        <v>3356</v>
      </c>
      <c r="F3379" s="338" t="s">
        <v>3355</v>
      </c>
      <c r="G3379" s="338" t="s">
        <v>413</v>
      </c>
      <c r="H3379" s="338" t="s">
        <v>425</v>
      </c>
      <c r="I3379" s="338" t="s">
        <v>411</v>
      </c>
      <c r="J3379" s="339"/>
      <c r="K3379" s="339"/>
      <c r="L3379" s="339">
        <v>0.35016900000000001</v>
      </c>
      <c r="M3379" s="339">
        <v>10.3477</v>
      </c>
      <c r="N3379" s="338"/>
      <c r="O3379" s="338" t="s">
        <v>410</v>
      </c>
      <c r="P3379" s="338" t="s">
        <v>482</v>
      </c>
    </row>
    <row r="3380" spans="2:16" x14ac:dyDescent="0.25">
      <c r="B3380" s="336" t="s">
        <v>416</v>
      </c>
      <c r="C3380" s="337">
        <v>39224</v>
      </c>
      <c r="D3380" s="338" t="s">
        <v>3354</v>
      </c>
      <c r="E3380" s="336" t="s">
        <v>3004</v>
      </c>
      <c r="F3380" s="338" t="s">
        <v>3353</v>
      </c>
      <c r="G3380" s="338" t="s">
        <v>413</v>
      </c>
      <c r="H3380" s="338" t="s">
        <v>412</v>
      </c>
      <c r="I3380" s="338" t="s">
        <v>411</v>
      </c>
      <c r="J3380" s="339"/>
      <c r="K3380" s="339"/>
      <c r="L3380" s="339"/>
      <c r="M3380" s="339"/>
      <c r="N3380" s="338" t="s">
        <v>417</v>
      </c>
      <c r="O3380" s="338" t="s">
        <v>443</v>
      </c>
      <c r="P3380" s="338" t="s">
        <v>417</v>
      </c>
    </row>
    <row r="3381" spans="2:16" x14ac:dyDescent="0.25">
      <c r="B3381" s="336" t="s">
        <v>416</v>
      </c>
      <c r="C3381" s="337">
        <v>39224</v>
      </c>
      <c r="D3381" s="338" t="s">
        <v>3352</v>
      </c>
      <c r="E3381" s="336" t="s">
        <v>2288</v>
      </c>
      <c r="F3381" s="338"/>
      <c r="G3381" s="338">
        <v>856.68</v>
      </c>
      <c r="H3381" s="338" t="s">
        <v>425</v>
      </c>
      <c r="I3381" s="338" t="s">
        <v>411</v>
      </c>
      <c r="J3381" s="339">
        <v>1.0500799999999999</v>
      </c>
      <c r="K3381" s="339">
        <v>10.375</v>
      </c>
      <c r="L3381" s="339" t="s">
        <v>409</v>
      </c>
      <c r="M3381" s="339" t="s">
        <v>409</v>
      </c>
      <c r="N3381" s="338" t="s">
        <v>417</v>
      </c>
      <c r="O3381" s="338" t="s">
        <v>409</v>
      </c>
      <c r="P3381" s="338" t="s">
        <v>417</v>
      </c>
    </row>
    <row r="3382" spans="2:16" x14ac:dyDescent="0.25">
      <c r="B3382" s="336" t="s">
        <v>416</v>
      </c>
      <c r="C3382" s="337">
        <v>39224</v>
      </c>
      <c r="D3382" s="338" t="s">
        <v>3351</v>
      </c>
      <c r="E3382" s="336" t="s">
        <v>2501</v>
      </c>
      <c r="F3382" s="338"/>
      <c r="G3382" s="338" t="s">
        <v>413</v>
      </c>
      <c r="H3382" s="338" t="s">
        <v>412</v>
      </c>
      <c r="I3382" s="338" t="s">
        <v>411</v>
      </c>
      <c r="J3382" s="339"/>
      <c r="K3382" s="339"/>
      <c r="L3382" s="339" t="s">
        <v>409</v>
      </c>
      <c r="M3382" s="339" t="s">
        <v>409</v>
      </c>
      <c r="N3382" s="338" t="s">
        <v>443</v>
      </c>
      <c r="O3382" s="338" t="s">
        <v>409</v>
      </c>
      <c r="P3382" s="338" t="s">
        <v>417</v>
      </c>
    </row>
    <row r="3383" spans="2:16" x14ac:dyDescent="0.25">
      <c r="B3383" s="336" t="s">
        <v>459</v>
      </c>
      <c r="C3383" s="337">
        <v>39224</v>
      </c>
      <c r="D3383" s="338" t="s">
        <v>3350</v>
      </c>
      <c r="E3383" s="336" t="s">
        <v>514</v>
      </c>
      <c r="F3383" s="338"/>
      <c r="G3383" s="338" t="s">
        <v>413</v>
      </c>
      <c r="H3383" s="338" t="s">
        <v>412</v>
      </c>
      <c r="I3383" s="338" t="s">
        <v>411</v>
      </c>
      <c r="J3383" s="339"/>
      <c r="K3383" s="339"/>
      <c r="L3383" s="339" t="s">
        <v>409</v>
      </c>
      <c r="M3383" s="339" t="s">
        <v>409</v>
      </c>
      <c r="N3383" s="338" t="s">
        <v>417</v>
      </c>
      <c r="O3383" s="338" t="s">
        <v>409</v>
      </c>
      <c r="P3383" s="338"/>
    </row>
    <row r="3384" spans="2:16" x14ac:dyDescent="0.25">
      <c r="B3384" s="336" t="s">
        <v>416</v>
      </c>
      <c r="C3384" s="337">
        <v>39220</v>
      </c>
      <c r="D3384" s="338" t="s">
        <v>3349</v>
      </c>
      <c r="E3384" s="336" t="s">
        <v>2174</v>
      </c>
      <c r="F3384" s="338"/>
      <c r="G3384" s="338" t="s">
        <v>413</v>
      </c>
      <c r="H3384" s="338" t="s">
        <v>425</v>
      </c>
      <c r="I3384" s="338" t="s">
        <v>411</v>
      </c>
      <c r="J3384" s="339"/>
      <c r="K3384" s="339"/>
      <c r="L3384" s="339" t="s">
        <v>409</v>
      </c>
      <c r="M3384" s="339" t="s">
        <v>409</v>
      </c>
      <c r="N3384" s="338" t="s">
        <v>487</v>
      </c>
      <c r="O3384" s="338" t="s">
        <v>409</v>
      </c>
      <c r="P3384" s="338" t="s">
        <v>417</v>
      </c>
    </row>
    <row r="3385" spans="2:16" x14ac:dyDescent="0.25">
      <c r="B3385" s="336" t="s">
        <v>416</v>
      </c>
      <c r="C3385" s="337">
        <v>39220</v>
      </c>
      <c r="D3385" s="338" t="s">
        <v>3348</v>
      </c>
      <c r="E3385" s="336" t="s">
        <v>3347</v>
      </c>
      <c r="F3385" s="338"/>
      <c r="G3385" s="338">
        <v>23</v>
      </c>
      <c r="H3385" s="338" t="s">
        <v>425</v>
      </c>
      <c r="I3385" s="338" t="s">
        <v>411</v>
      </c>
      <c r="J3385" s="339"/>
      <c r="K3385" s="339"/>
      <c r="L3385" s="339" t="s">
        <v>409</v>
      </c>
      <c r="M3385" s="339" t="s">
        <v>409</v>
      </c>
      <c r="N3385" s="338"/>
      <c r="O3385" s="338" t="s">
        <v>409</v>
      </c>
      <c r="P3385" s="338" t="s">
        <v>417</v>
      </c>
    </row>
    <row r="3386" spans="2:16" x14ac:dyDescent="0.25">
      <c r="B3386" s="336" t="s">
        <v>416</v>
      </c>
      <c r="C3386" s="337">
        <v>39220</v>
      </c>
      <c r="D3386" s="338" t="s">
        <v>3346</v>
      </c>
      <c r="E3386" s="336" t="s">
        <v>3345</v>
      </c>
      <c r="F3386" s="338"/>
      <c r="G3386" s="338" t="s">
        <v>413</v>
      </c>
      <c r="H3386" s="338" t="s">
        <v>412</v>
      </c>
      <c r="I3386" s="338" t="s">
        <v>411</v>
      </c>
      <c r="J3386" s="339"/>
      <c r="K3386" s="339"/>
      <c r="L3386" s="339" t="s">
        <v>409</v>
      </c>
      <c r="M3386" s="339" t="s">
        <v>409</v>
      </c>
      <c r="N3386" s="338"/>
      <c r="O3386" s="338" t="s">
        <v>409</v>
      </c>
      <c r="P3386" s="338" t="s">
        <v>443</v>
      </c>
    </row>
    <row r="3387" spans="2:16" x14ac:dyDescent="0.25">
      <c r="B3387" s="336" t="s">
        <v>416</v>
      </c>
      <c r="C3387" s="337">
        <v>39220</v>
      </c>
      <c r="D3387" s="338" t="s">
        <v>3344</v>
      </c>
      <c r="E3387" s="336" t="s">
        <v>587</v>
      </c>
      <c r="F3387" s="338"/>
      <c r="G3387" s="338" t="s">
        <v>413</v>
      </c>
      <c r="H3387" s="338" t="s">
        <v>412</v>
      </c>
      <c r="I3387" s="338" t="s">
        <v>411</v>
      </c>
      <c r="J3387" s="339"/>
      <c r="K3387" s="339"/>
      <c r="L3387" s="339" t="s">
        <v>409</v>
      </c>
      <c r="M3387" s="339" t="s">
        <v>409</v>
      </c>
      <c r="N3387" s="338" t="s">
        <v>443</v>
      </c>
      <c r="O3387" s="338" t="s">
        <v>409</v>
      </c>
      <c r="P3387" s="338" t="s">
        <v>417</v>
      </c>
    </row>
    <row r="3388" spans="2:16" x14ac:dyDescent="0.25">
      <c r="B3388" s="336" t="s">
        <v>416</v>
      </c>
      <c r="C3388" s="337">
        <v>39219</v>
      </c>
      <c r="D3388" s="338" t="s">
        <v>3343</v>
      </c>
      <c r="E3388" s="336" t="s">
        <v>577</v>
      </c>
      <c r="F3388" s="338" t="s">
        <v>1045</v>
      </c>
      <c r="G3388" s="338">
        <v>489.73</v>
      </c>
      <c r="H3388" s="338" t="s">
        <v>336</v>
      </c>
      <c r="I3388" s="338" t="s">
        <v>411</v>
      </c>
      <c r="J3388" s="339"/>
      <c r="K3388" s="339"/>
      <c r="L3388" s="339">
        <v>2.7085900000000001</v>
      </c>
      <c r="M3388" s="339">
        <v>10.433400000000001</v>
      </c>
      <c r="N3388" s="338"/>
      <c r="O3388" s="338" t="s">
        <v>432</v>
      </c>
      <c r="P3388" s="338" t="s">
        <v>432</v>
      </c>
    </row>
    <row r="3389" spans="2:16" x14ac:dyDescent="0.25">
      <c r="B3389" s="336" t="s">
        <v>416</v>
      </c>
      <c r="C3389" s="337">
        <v>39219</v>
      </c>
      <c r="D3389" s="338" t="s">
        <v>3342</v>
      </c>
      <c r="E3389" s="336" t="s">
        <v>1619</v>
      </c>
      <c r="F3389" s="338" t="s">
        <v>3341</v>
      </c>
      <c r="G3389" s="338" t="s">
        <v>413</v>
      </c>
      <c r="H3389" s="338" t="s">
        <v>412</v>
      </c>
      <c r="I3389" s="338" t="s">
        <v>411</v>
      </c>
      <c r="J3389" s="339"/>
      <c r="K3389" s="339"/>
      <c r="L3389" s="339"/>
      <c r="M3389" s="339"/>
      <c r="N3389" s="338" t="s">
        <v>410</v>
      </c>
      <c r="O3389" s="338" t="s">
        <v>443</v>
      </c>
      <c r="P3389" s="338" t="s">
        <v>417</v>
      </c>
    </row>
    <row r="3390" spans="2:16" x14ac:dyDescent="0.25">
      <c r="B3390" s="336" t="s">
        <v>416</v>
      </c>
      <c r="C3390" s="337">
        <v>39218</v>
      </c>
      <c r="D3390" s="338" t="s">
        <v>3340</v>
      </c>
      <c r="E3390" s="336" t="s">
        <v>1935</v>
      </c>
      <c r="F3390" s="338"/>
      <c r="G3390" s="338" t="s">
        <v>413</v>
      </c>
      <c r="H3390" s="338" t="s">
        <v>425</v>
      </c>
      <c r="I3390" s="338" t="s">
        <v>411</v>
      </c>
      <c r="J3390" s="339"/>
      <c r="K3390" s="339"/>
      <c r="L3390" s="339" t="s">
        <v>409</v>
      </c>
      <c r="M3390" s="339" t="s">
        <v>409</v>
      </c>
      <c r="N3390" s="338" t="s">
        <v>417</v>
      </c>
      <c r="O3390" s="338" t="s">
        <v>409</v>
      </c>
      <c r="P3390" s="338" t="s">
        <v>443</v>
      </c>
    </row>
    <row r="3391" spans="2:16" x14ac:dyDescent="0.25">
      <c r="B3391" s="336" t="s">
        <v>416</v>
      </c>
      <c r="C3391" s="337">
        <v>39217</v>
      </c>
      <c r="D3391" s="338" t="s">
        <v>3339</v>
      </c>
      <c r="E3391" s="336" t="s">
        <v>3338</v>
      </c>
      <c r="F3391" s="338" t="s">
        <v>3337</v>
      </c>
      <c r="G3391" s="338" t="s">
        <v>413</v>
      </c>
      <c r="H3391" s="338" t="s">
        <v>425</v>
      </c>
      <c r="I3391" s="338" t="s">
        <v>411</v>
      </c>
      <c r="J3391" s="339"/>
      <c r="K3391" s="339"/>
      <c r="L3391" s="339"/>
      <c r="M3391" s="339"/>
      <c r="N3391" s="338"/>
      <c r="O3391" s="338" t="s">
        <v>432</v>
      </c>
      <c r="P3391" s="338" t="s">
        <v>417</v>
      </c>
    </row>
    <row r="3392" spans="2:16" x14ac:dyDescent="0.25">
      <c r="B3392" s="336" t="s">
        <v>416</v>
      </c>
      <c r="C3392" s="337">
        <v>39217</v>
      </c>
      <c r="D3392" s="338" t="s">
        <v>3336</v>
      </c>
      <c r="E3392" s="336" t="s">
        <v>1733</v>
      </c>
      <c r="F3392" s="338" t="s">
        <v>546</v>
      </c>
      <c r="G3392" s="338">
        <v>602</v>
      </c>
      <c r="H3392" s="338" t="s">
        <v>425</v>
      </c>
      <c r="I3392" s="338" t="s">
        <v>411</v>
      </c>
      <c r="J3392" s="339"/>
      <c r="K3392" s="339"/>
      <c r="L3392" s="339">
        <v>1.7353000000000001</v>
      </c>
      <c r="M3392" s="339">
        <v>8.6933699999999998</v>
      </c>
      <c r="N3392" s="338" t="s">
        <v>417</v>
      </c>
      <c r="O3392" s="338" t="s">
        <v>417</v>
      </c>
      <c r="P3392" s="338" t="s">
        <v>443</v>
      </c>
    </row>
    <row r="3393" spans="2:16" x14ac:dyDescent="0.25">
      <c r="B3393" s="336" t="s">
        <v>459</v>
      </c>
      <c r="C3393" s="337">
        <v>39216</v>
      </c>
      <c r="D3393" s="338" t="s">
        <v>3335</v>
      </c>
      <c r="E3393" s="336" t="s">
        <v>3334</v>
      </c>
      <c r="F3393" s="338"/>
      <c r="G3393" s="338">
        <v>2.7</v>
      </c>
      <c r="H3393" s="338" t="s">
        <v>425</v>
      </c>
      <c r="I3393" s="338" t="s">
        <v>411</v>
      </c>
      <c r="J3393" s="339"/>
      <c r="K3393" s="339"/>
      <c r="L3393" s="339" t="s">
        <v>409</v>
      </c>
      <c r="M3393" s="339" t="s">
        <v>409</v>
      </c>
      <c r="N3393" s="338" t="s">
        <v>417</v>
      </c>
      <c r="O3393" s="338" t="s">
        <v>409</v>
      </c>
      <c r="P3393" s="338" t="s">
        <v>443</v>
      </c>
    </row>
    <row r="3394" spans="2:16" x14ac:dyDescent="0.25">
      <c r="B3394" s="336" t="s">
        <v>416</v>
      </c>
      <c r="C3394" s="337">
        <v>39216</v>
      </c>
      <c r="D3394" s="338" t="s">
        <v>3333</v>
      </c>
      <c r="E3394" s="336" t="s">
        <v>2713</v>
      </c>
      <c r="F3394" s="338"/>
      <c r="G3394" s="338" t="s">
        <v>413</v>
      </c>
      <c r="H3394" s="338" t="s">
        <v>425</v>
      </c>
      <c r="I3394" s="338" t="s">
        <v>411</v>
      </c>
      <c r="J3394" s="339"/>
      <c r="K3394" s="339"/>
      <c r="L3394" s="339" t="s">
        <v>409</v>
      </c>
      <c r="M3394" s="339" t="s">
        <v>409</v>
      </c>
      <c r="N3394" s="338"/>
      <c r="O3394" s="338" t="s">
        <v>409</v>
      </c>
      <c r="P3394" s="338" t="s">
        <v>417</v>
      </c>
    </row>
    <row r="3395" spans="2:16" x14ac:dyDescent="0.25">
      <c r="B3395" s="336" t="s">
        <v>416</v>
      </c>
      <c r="C3395" s="337">
        <v>39216</v>
      </c>
      <c r="D3395" s="338" t="s">
        <v>3332</v>
      </c>
      <c r="E3395" s="336" t="s">
        <v>3331</v>
      </c>
      <c r="F3395" s="338" t="s">
        <v>642</v>
      </c>
      <c r="G3395" s="338" t="s">
        <v>413</v>
      </c>
      <c r="H3395" s="338" t="s">
        <v>425</v>
      </c>
      <c r="I3395" s="338" t="s">
        <v>411</v>
      </c>
      <c r="J3395" s="339"/>
      <c r="K3395" s="339"/>
      <c r="L3395" s="339"/>
      <c r="M3395" s="339"/>
      <c r="N3395" s="338"/>
      <c r="O3395" s="338" t="s">
        <v>443</v>
      </c>
      <c r="P3395" s="338" t="s">
        <v>443</v>
      </c>
    </row>
    <row r="3396" spans="2:16" x14ac:dyDescent="0.25">
      <c r="B3396" s="336" t="s">
        <v>416</v>
      </c>
      <c r="C3396" s="337">
        <v>39213</v>
      </c>
      <c r="D3396" s="338" t="s">
        <v>3330</v>
      </c>
      <c r="E3396" s="336" t="s">
        <v>3329</v>
      </c>
      <c r="F3396" s="338" t="s">
        <v>3328</v>
      </c>
      <c r="G3396" s="338" t="s">
        <v>413</v>
      </c>
      <c r="H3396" s="338" t="s">
        <v>425</v>
      </c>
      <c r="I3396" s="338" t="s">
        <v>411</v>
      </c>
      <c r="J3396" s="339"/>
      <c r="K3396" s="339"/>
      <c r="L3396" s="339">
        <v>0.54918999999999996</v>
      </c>
      <c r="M3396" s="339">
        <v>7.5692500000000003</v>
      </c>
      <c r="N3396" s="338"/>
      <c r="O3396" s="338" t="s">
        <v>410</v>
      </c>
      <c r="P3396" s="338" t="s">
        <v>417</v>
      </c>
    </row>
    <row r="3397" spans="2:16" x14ac:dyDescent="0.25">
      <c r="B3397" s="336" t="s">
        <v>416</v>
      </c>
      <c r="C3397" s="337">
        <v>39213</v>
      </c>
      <c r="D3397" s="338" t="s">
        <v>1911</v>
      </c>
      <c r="E3397" s="336" t="s">
        <v>3327</v>
      </c>
      <c r="F3397" s="338"/>
      <c r="G3397" s="338" t="s">
        <v>413</v>
      </c>
      <c r="H3397" s="338" t="s">
        <v>412</v>
      </c>
      <c r="I3397" s="338" t="s">
        <v>411</v>
      </c>
      <c r="J3397" s="339"/>
      <c r="K3397" s="339"/>
      <c r="L3397" s="339" t="s">
        <v>409</v>
      </c>
      <c r="M3397" s="339" t="s">
        <v>409</v>
      </c>
      <c r="N3397" s="338" t="s">
        <v>417</v>
      </c>
      <c r="O3397" s="338" t="s">
        <v>409</v>
      </c>
      <c r="P3397" s="338" t="s">
        <v>543</v>
      </c>
    </row>
    <row r="3398" spans="2:16" x14ac:dyDescent="0.25">
      <c r="B3398" s="336" t="s">
        <v>416</v>
      </c>
      <c r="C3398" s="337">
        <v>39213</v>
      </c>
      <c r="D3398" s="338" t="s">
        <v>3326</v>
      </c>
      <c r="E3398" s="336" t="s">
        <v>3325</v>
      </c>
      <c r="F3398" s="338"/>
      <c r="G3398" s="338" t="s">
        <v>413</v>
      </c>
      <c r="H3398" s="338" t="s">
        <v>425</v>
      </c>
      <c r="I3398" s="338" t="s">
        <v>411</v>
      </c>
      <c r="J3398" s="339"/>
      <c r="K3398" s="339"/>
      <c r="L3398" s="339" t="s">
        <v>409</v>
      </c>
      <c r="M3398" s="339" t="s">
        <v>409</v>
      </c>
      <c r="N3398" s="338" t="s">
        <v>417</v>
      </c>
      <c r="O3398" s="338" t="s">
        <v>409</v>
      </c>
      <c r="P3398" s="338" t="s">
        <v>443</v>
      </c>
    </row>
    <row r="3399" spans="2:16" x14ac:dyDescent="0.25">
      <c r="B3399" s="336" t="s">
        <v>416</v>
      </c>
      <c r="C3399" s="337">
        <v>39212</v>
      </c>
      <c r="D3399" s="338" t="s">
        <v>3324</v>
      </c>
      <c r="E3399" s="336" t="s">
        <v>3323</v>
      </c>
      <c r="F3399" s="338"/>
      <c r="G3399" s="338" t="s">
        <v>413</v>
      </c>
      <c r="H3399" s="338" t="s">
        <v>412</v>
      </c>
      <c r="I3399" s="338" t="s">
        <v>411</v>
      </c>
      <c r="J3399" s="339"/>
      <c r="K3399" s="339"/>
      <c r="L3399" s="339" t="s">
        <v>409</v>
      </c>
      <c r="M3399" s="339" t="s">
        <v>409</v>
      </c>
      <c r="N3399" s="338" t="s">
        <v>417</v>
      </c>
      <c r="O3399" s="338" t="s">
        <v>409</v>
      </c>
      <c r="P3399" s="338" t="s">
        <v>443</v>
      </c>
    </row>
    <row r="3400" spans="2:16" x14ac:dyDescent="0.25">
      <c r="B3400" s="336" t="s">
        <v>416</v>
      </c>
      <c r="C3400" s="337">
        <v>39212</v>
      </c>
      <c r="D3400" s="338" t="s">
        <v>3322</v>
      </c>
      <c r="E3400" s="336" t="s">
        <v>2487</v>
      </c>
      <c r="F3400" s="338"/>
      <c r="G3400" s="338" t="s">
        <v>413</v>
      </c>
      <c r="H3400" s="338" t="s">
        <v>425</v>
      </c>
      <c r="I3400" s="338" t="s">
        <v>411</v>
      </c>
      <c r="J3400" s="339"/>
      <c r="K3400" s="339"/>
      <c r="L3400" s="339" t="s">
        <v>409</v>
      </c>
      <c r="M3400" s="339" t="s">
        <v>409</v>
      </c>
      <c r="N3400" s="338"/>
      <c r="O3400" s="338" t="s">
        <v>409</v>
      </c>
      <c r="P3400" s="338" t="s">
        <v>443</v>
      </c>
    </row>
    <row r="3401" spans="2:16" x14ac:dyDescent="0.25">
      <c r="B3401" s="336" t="s">
        <v>416</v>
      </c>
      <c r="C3401" s="337">
        <v>39212</v>
      </c>
      <c r="D3401" s="338" t="s">
        <v>3321</v>
      </c>
      <c r="E3401" s="336" t="s">
        <v>1906</v>
      </c>
      <c r="F3401" s="338"/>
      <c r="G3401" s="338">
        <v>9.5</v>
      </c>
      <c r="H3401" s="338" t="s">
        <v>429</v>
      </c>
      <c r="I3401" s="338" t="s">
        <v>411</v>
      </c>
      <c r="J3401" s="339"/>
      <c r="K3401" s="339"/>
      <c r="L3401" s="339" t="s">
        <v>409</v>
      </c>
      <c r="M3401" s="339" t="s">
        <v>409</v>
      </c>
      <c r="N3401" s="338" t="s">
        <v>417</v>
      </c>
      <c r="O3401" s="338" t="s">
        <v>409</v>
      </c>
      <c r="P3401" s="338" t="s">
        <v>417</v>
      </c>
    </row>
    <row r="3402" spans="2:16" x14ac:dyDescent="0.25">
      <c r="B3402" s="336" t="s">
        <v>416</v>
      </c>
      <c r="C3402" s="337">
        <v>39212</v>
      </c>
      <c r="D3402" s="338" t="s">
        <v>3320</v>
      </c>
      <c r="E3402" s="336" t="s">
        <v>3319</v>
      </c>
      <c r="F3402" s="338"/>
      <c r="G3402" s="338" t="s">
        <v>413</v>
      </c>
      <c r="H3402" s="338" t="s">
        <v>425</v>
      </c>
      <c r="I3402" s="338" t="s">
        <v>411</v>
      </c>
      <c r="J3402" s="339"/>
      <c r="K3402" s="339"/>
      <c r="L3402" s="339" t="s">
        <v>409</v>
      </c>
      <c r="M3402" s="339" t="s">
        <v>409</v>
      </c>
      <c r="N3402" s="338"/>
      <c r="O3402" s="338" t="s">
        <v>409</v>
      </c>
      <c r="P3402" s="338" t="s">
        <v>432</v>
      </c>
    </row>
    <row r="3403" spans="2:16" x14ac:dyDescent="0.25">
      <c r="B3403" s="336" t="s">
        <v>416</v>
      </c>
      <c r="C3403" s="337">
        <v>39212</v>
      </c>
      <c r="D3403" s="338" t="s">
        <v>3318</v>
      </c>
      <c r="E3403" s="336" t="s">
        <v>2425</v>
      </c>
      <c r="F3403" s="338"/>
      <c r="G3403" s="338" t="s">
        <v>413</v>
      </c>
      <c r="H3403" s="338" t="s">
        <v>418</v>
      </c>
      <c r="I3403" s="338" t="s">
        <v>411</v>
      </c>
      <c r="J3403" s="339"/>
      <c r="K3403" s="339"/>
      <c r="L3403" s="339" t="s">
        <v>409</v>
      </c>
      <c r="M3403" s="339" t="s">
        <v>409</v>
      </c>
      <c r="N3403" s="338" t="s">
        <v>417</v>
      </c>
      <c r="O3403" s="338" t="s">
        <v>409</v>
      </c>
      <c r="P3403" s="338" t="s">
        <v>417</v>
      </c>
    </row>
    <row r="3404" spans="2:16" x14ac:dyDescent="0.25">
      <c r="B3404" s="336" t="s">
        <v>416</v>
      </c>
      <c r="C3404" s="337">
        <v>39211</v>
      </c>
      <c r="D3404" s="338" t="s">
        <v>717</v>
      </c>
      <c r="E3404" s="336" t="s">
        <v>1217</v>
      </c>
      <c r="F3404" s="338" t="s">
        <v>716</v>
      </c>
      <c r="G3404" s="338" t="s">
        <v>413</v>
      </c>
      <c r="H3404" s="338" t="s">
        <v>412</v>
      </c>
      <c r="I3404" s="338" t="s">
        <v>411</v>
      </c>
      <c r="J3404" s="339"/>
      <c r="K3404" s="339"/>
      <c r="L3404" s="339"/>
      <c r="M3404" s="339"/>
      <c r="N3404" s="338" t="s">
        <v>410</v>
      </c>
      <c r="O3404" s="338" t="s">
        <v>443</v>
      </c>
      <c r="P3404" s="338" t="s">
        <v>410</v>
      </c>
    </row>
    <row r="3405" spans="2:16" x14ac:dyDescent="0.25">
      <c r="B3405" s="336" t="s">
        <v>416</v>
      </c>
      <c r="C3405" s="337">
        <v>39211</v>
      </c>
      <c r="D3405" s="338" t="s">
        <v>3317</v>
      </c>
      <c r="E3405" s="336" t="s">
        <v>3316</v>
      </c>
      <c r="F3405" s="338"/>
      <c r="G3405" s="338">
        <v>16</v>
      </c>
      <c r="H3405" s="338" t="s">
        <v>425</v>
      </c>
      <c r="I3405" s="338" t="s">
        <v>411</v>
      </c>
      <c r="J3405" s="339"/>
      <c r="K3405" s="339"/>
      <c r="L3405" s="339" t="s">
        <v>409</v>
      </c>
      <c r="M3405" s="339" t="s">
        <v>409</v>
      </c>
      <c r="N3405" s="338" t="s">
        <v>417</v>
      </c>
      <c r="O3405" s="338" t="s">
        <v>409</v>
      </c>
      <c r="P3405" s="338" t="s">
        <v>417</v>
      </c>
    </row>
    <row r="3406" spans="2:16" x14ac:dyDescent="0.25">
      <c r="B3406" s="336" t="s">
        <v>416</v>
      </c>
      <c r="C3406" s="337">
        <v>39210</v>
      </c>
      <c r="D3406" s="338" t="s">
        <v>3315</v>
      </c>
      <c r="E3406" s="336" t="s">
        <v>3314</v>
      </c>
      <c r="F3406" s="338"/>
      <c r="G3406" s="338" t="s">
        <v>413</v>
      </c>
      <c r="H3406" s="338" t="s">
        <v>412</v>
      </c>
      <c r="I3406" s="338" t="s">
        <v>411</v>
      </c>
      <c r="J3406" s="339"/>
      <c r="K3406" s="339"/>
      <c r="L3406" s="339" t="s">
        <v>409</v>
      </c>
      <c r="M3406" s="339" t="s">
        <v>409</v>
      </c>
      <c r="N3406" s="338" t="s">
        <v>417</v>
      </c>
      <c r="O3406" s="338" t="s">
        <v>409</v>
      </c>
      <c r="P3406" s="338" t="s">
        <v>417</v>
      </c>
    </row>
    <row r="3407" spans="2:16" x14ac:dyDescent="0.25">
      <c r="B3407" s="336" t="s">
        <v>1441</v>
      </c>
      <c r="C3407" s="337">
        <v>39210</v>
      </c>
      <c r="D3407" s="338" t="s">
        <v>3313</v>
      </c>
      <c r="E3407" s="336" t="s">
        <v>1605</v>
      </c>
      <c r="F3407" s="338"/>
      <c r="G3407" s="338" t="s">
        <v>413</v>
      </c>
      <c r="H3407" s="338" t="s">
        <v>425</v>
      </c>
      <c r="I3407" s="338" t="s">
        <v>411</v>
      </c>
      <c r="J3407" s="339"/>
      <c r="K3407" s="339"/>
      <c r="L3407" s="339" t="s">
        <v>409</v>
      </c>
      <c r="M3407" s="339" t="s">
        <v>409</v>
      </c>
      <c r="N3407" s="338" t="s">
        <v>443</v>
      </c>
      <c r="O3407" s="338" t="s">
        <v>409</v>
      </c>
      <c r="P3407" s="338" t="s">
        <v>417</v>
      </c>
    </row>
    <row r="3408" spans="2:16" x14ac:dyDescent="0.25">
      <c r="B3408" s="336" t="s">
        <v>416</v>
      </c>
      <c r="C3408" s="337">
        <v>39210</v>
      </c>
      <c r="D3408" s="338" t="s">
        <v>3312</v>
      </c>
      <c r="E3408" s="336" t="s">
        <v>3311</v>
      </c>
      <c r="F3408" s="338"/>
      <c r="G3408" s="338" t="s">
        <v>413</v>
      </c>
      <c r="H3408" s="338" t="s">
        <v>412</v>
      </c>
      <c r="I3408" s="338" t="s">
        <v>411</v>
      </c>
      <c r="J3408" s="339"/>
      <c r="K3408" s="339"/>
      <c r="L3408" s="339" t="s">
        <v>409</v>
      </c>
      <c r="M3408" s="339" t="s">
        <v>409</v>
      </c>
      <c r="N3408" s="338" t="s">
        <v>487</v>
      </c>
      <c r="O3408" s="338" t="s">
        <v>409</v>
      </c>
      <c r="P3408" s="338" t="s">
        <v>417</v>
      </c>
    </row>
    <row r="3409" spans="2:16" x14ac:dyDescent="0.25">
      <c r="B3409" s="336" t="s">
        <v>416</v>
      </c>
      <c r="C3409" s="337">
        <v>39209</v>
      </c>
      <c r="D3409" s="338" t="s">
        <v>3310</v>
      </c>
      <c r="E3409" s="336" t="s">
        <v>3309</v>
      </c>
      <c r="F3409" s="338" t="s">
        <v>3308</v>
      </c>
      <c r="G3409" s="338" t="s">
        <v>413</v>
      </c>
      <c r="H3409" s="338" t="s">
        <v>425</v>
      </c>
      <c r="I3409" s="338" t="s">
        <v>411</v>
      </c>
      <c r="J3409" s="339"/>
      <c r="K3409" s="339"/>
      <c r="L3409" s="339">
        <v>2.4505699999999999</v>
      </c>
      <c r="M3409" s="339">
        <v>15.907999999999999</v>
      </c>
      <c r="N3409" s="338"/>
      <c r="O3409" s="338" t="s">
        <v>410</v>
      </c>
      <c r="P3409" s="338" t="s">
        <v>410</v>
      </c>
    </row>
    <row r="3410" spans="2:16" x14ac:dyDescent="0.25">
      <c r="B3410" s="336" t="s">
        <v>416</v>
      </c>
      <c r="C3410" s="337">
        <v>39209</v>
      </c>
      <c r="D3410" s="338" t="s">
        <v>3307</v>
      </c>
      <c r="E3410" s="336" t="s">
        <v>656</v>
      </c>
      <c r="F3410" s="338"/>
      <c r="G3410" s="338" t="s">
        <v>413</v>
      </c>
      <c r="H3410" s="338" t="s">
        <v>412</v>
      </c>
      <c r="I3410" s="338" t="s">
        <v>411</v>
      </c>
      <c r="J3410" s="339"/>
      <c r="K3410" s="339"/>
      <c r="L3410" s="339" t="s">
        <v>409</v>
      </c>
      <c r="M3410" s="339" t="s">
        <v>409</v>
      </c>
      <c r="N3410" s="338" t="s">
        <v>417</v>
      </c>
      <c r="O3410" s="338" t="s">
        <v>409</v>
      </c>
      <c r="P3410" s="338" t="s">
        <v>408</v>
      </c>
    </row>
    <row r="3411" spans="2:16" x14ac:dyDescent="0.25">
      <c r="B3411" s="336" t="s">
        <v>416</v>
      </c>
      <c r="C3411" s="337">
        <v>39209</v>
      </c>
      <c r="D3411" s="338" t="s">
        <v>956</v>
      </c>
      <c r="E3411" s="336" t="s">
        <v>1743</v>
      </c>
      <c r="F3411" s="338" t="s">
        <v>1657</v>
      </c>
      <c r="G3411" s="338">
        <v>4.0999999999999996</v>
      </c>
      <c r="H3411" s="338" t="s">
        <v>425</v>
      </c>
      <c r="I3411" s="338" t="s">
        <v>411</v>
      </c>
      <c r="J3411" s="339"/>
      <c r="K3411" s="339"/>
      <c r="L3411" s="339">
        <v>3.4981300000000002</v>
      </c>
      <c r="M3411" s="339">
        <v>10.817399999999999</v>
      </c>
      <c r="N3411" s="338"/>
      <c r="O3411" s="338" t="s">
        <v>410</v>
      </c>
      <c r="P3411" s="338" t="s">
        <v>410</v>
      </c>
    </row>
    <row r="3412" spans="2:16" x14ac:dyDescent="0.25">
      <c r="B3412" s="336" t="s">
        <v>416</v>
      </c>
      <c r="C3412" s="337">
        <v>39206</v>
      </c>
      <c r="D3412" s="338" t="s">
        <v>3306</v>
      </c>
      <c r="E3412" s="336" t="s">
        <v>3305</v>
      </c>
      <c r="F3412" s="338" t="s">
        <v>1365</v>
      </c>
      <c r="G3412" s="338">
        <v>152</v>
      </c>
      <c r="H3412" s="338" t="s">
        <v>425</v>
      </c>
      <c r="I3412" s="338" t="s">
        <v>411</v>
      </c>
      <c r="J3412" s="339"/>
      <c r="K3412" s="339"/>
      <c r="L3412" s="339"/>
      <c r="M3412" s="339"/>
      <c r="N3412" s="338"/>
      <c r="O3412" s="338" t="s">
        <v>417</v>
      </c>
      <c r="P3412" s="338" t="s">
        <v>543</v>
      </c>
    </row>
    <row r="3413" spans="2:16" x14ac:dyDescent="0.25">
      <c r="B3413" s="336" t="s">
        <v>459</v>
      </c>
      <c r="C3413" s="337">
        <v>39206</v>
      </c>
      <c r="D3413" s="338" t="s">
        <v>2838</v>
      </c>
      <c r="E3413" s="336" t="s">
        <v>2837</v>
      </c>
      <c r="F3413" s="338"/>
      <c r="G3413" s="338">
        <v>2.2000000000000002</v>
      </c>
      <c r="H3413" s="338" t="s">
        <v>425</v>
      </c>
      <c r="I3413" s="338" t="s">
        <v>411</v>
      </c>
      <c r="J3413" s="339"/>
      <c r="K3413" s="339"/>
      <c r="L3413" s="339" t="s">
        <v>409</v>
      </c>
      <c r="M3413" s="339" t="s">
        <v>409</v>
      </c>
      <c r="N3413" s="338" t="s">
        <v>410</v>
      </c>
      <c r="O3413" s="338" t="s">
        <v>409</v>
      </c>
      <c r="P3413" s="338" t="s">
        <v>443</v>
      </c>
    </row>
    <row r="3414" spans="2:16" x14ac:dyDescent="0.25">
      <c r="B3414" s="336" t="s">
        <v>416</v>
      </c>
      <c r="C3414" s="337">
        <v>39206</v>
      </c>
      <c r="D3414" s="338" t="s">
        <v>3304</v>
      </c>
      <c r="E3414" s="336" t="s">
        <v>3303</v>
      </c>
      <c r="F3414" s="338"/>
      <c r="G3414" s="338">
        <v>47.46</v>
      </c>
      <c r="H3414" s="338" t="s">
        <v>425</v>
      </c>
      <c r="I3414" s="338" t="s">
        <v>411</v>
      </c>
      <c r="J3414" s="339"/>
      <c r="K3414" s="339"/>
      <c r="L3414" s="339" t="s">
        <v>409</v>
      </c>
      <c r="M3414" s="339" t="s">
        <v>409</v>
      </c>
      <c r="N3414" s="338" t="s">
        <v>410</v>
      </c>
      <c r="O3414" s="338" t="s">
        <v>409</v>
      </c>
      <c r="P3414" s="338" t="s">
        <v>410</v>
      </c>
    </row>
    <row r="3415" spans="2:16" x14ac:dyDescent="0.25">
      <c r="B3415" s="336" t="s">
        <v>416</v>
      </c>
      <c r="C3415" s="337">
        <v>39205</v>
      </c>
      <c r="D3415" s="338" t="s">
        <v>3302</v>
      </c>
      <c r="E3415" s="336" t="s">
        <v>3301</v>
      </c>
      <c r="F3415" s="338"/>
      <c r="G3415" s="338" t="s">
        <v>413</v>
      </c>
      <c r="H3415" s="338" t="s">
        <v>336</v>
      </c>
      <c r="I3415" s="338" t="s">
        <v>411</v>
      </c>
      <c r="J3415" s="339"/>
      <c r="K3415" s="339"/>
      <c r="L3415" s="339" t="s">
        <v>409</v>
      </c>
      <c r="M3415" s="339" t="s">
        <v>409</v>
      </c>
      <c r="N3415" s="338" t="s">
        <v>417</v>
      </c>
      <c r="O3415" s="338" t="s">
        <v>409</v>
      </c>
      <c r="P3415" s="338" t="s">
        <v>443</v>
      </c>
    </row>
    <row r="3416" spans="2:16" x14ac:dyDescent="0.25">
      <c r="B3416" s="336" t="s">
        <v>416</v>
      </c>
      <c r="C3416" s="337">
        <v>39205</v>
      </c>
      <c r="D3416" s="338" t="s">
        <v>3300</v>
      </c>
      <c r="E3416" s="336" t="s">
        <v>3299</v>
      </c>
      <c r="F3416" s="338" t="s">
        <v>3298</v>
      </c>
      <c r="G3416" s="338" t="s">
        <v>413</v>
      </c>
      <c r="H3416" s="338" t="s">
        <v>425</v>
      </c>
      <c r="I3416" s="338" t="s">
        <v>411</v>
      </c>
      <c r="J3416" s="339"/>
      <c r="K3416" s="339"/>
      <c r="L3416" s="339"/>
      <c r="M3416" s="339"/>
      <c r="N3416" s="338"/>
      <c r="O3416" s="338" t="s">
        <v>432</v>
      </c>
      <c r="P3416" s="338" t="s">
        <v>410</v>
      </c>
    </row>
    <row r="3417" spans="2:16" x14ac:dyDescent="0.25">
      <c r="B3417" s="336" t="s">
        <v>416</v>
      </c>
      <c r="C3417" s="337">
        <v>39204</v>
      </c>
      <c r="D3417" s="338" t="s">
        <v>3297</v>
      </c>
      <c r="E3417" s="336" t="s">
        <v>3296</v>
      </c>
      <c r="F3417" s="338"/>
      <c r="G3417" s="338">
        <v>100</v>
      </c>
      <c r="H3417" s="338" t="s">
        <v>425</v>
      </c>
      <c r="I3417" s="338" t="s">
        <v>411</v>
      </c>
      <c r="J3417" s="339"/>
      <c r="K3417" s="339"/>
      <c r="L3417" s="339" t="s">
        <v>409</v>
      </c>
      <c r="M3417" s="339" t="s">
        <v>409</v>
      </c>
      <c r="N3417" s="338" t="s">
        <v>417</v>
      </c>
      <c r="O3417" s="338" t="s">
        <v>409</v>
      </c>
      <c r="P3417" s="338" t="s">
        <v>410</v>
      </c>
    </row>
    <row r="3418" spans="2:16" x14ac:dyDescent="0.25">
      <c r="B3418" s="336" t="s">
        <v>416</v>
      </c>
      <c r="C3418" s="337">
        <v>39204</v>
      </c>
      <c r="D3418" s="338" t="s">
        <v>3295</v>
      </c>
      <c r="E3418" s="336" t="s">
        <v>2501</v>
      </c>
      <c r="F3418" s="338"/>
      <c r="G3418" s="338" t="s">
        <v>413</v>
      </c>
      <c r="H3418" s="338" t="s">
        <v>412</v>
      </c>
      <c r="I3418" s="338" t="s">
        <v>411</v>
      </c>
      <c r="J3418" s="339"/>
      <c r="K3418" s="339"/>
      <c r="L3418" s="339" t="s">
        <v>409</v>
      </c>
      <c r="M3418" s="339" t="s">
        <v>409</v>
      </c>
      <c r="N3418" s="338" t="s">
        <v>443</v>
      </c>
      <c r="O3418" s="338" t="s">
        <v>409</v>
      </c>
      <c r="P3418" s="338" t="s">
        <v>417</v>
      </c>
    </row>
    <row r="3419" spans="2:16" x14ac:dyDescent="0.25">
      <c r="B3419" s="336" t="s">
        <v>416</v>
      </c>
      <c r="C3419" s="337">
        <v>39203</v>
      </c>
      <c r="D3419" s="338" t="s">
        <v>3294</v>
      </c>
      <c r="E3419" s="336" t="s">
        <v>2133</v>
      </c>
      <c r="F3419" s="338"/>
      <c r="G3419" s="338">
        <v>100</v>
      </c>
      <c r="H3419" s="338" t="s">
        <v>425</v>
      </c>
      <c r="I3419" s="338" t="s">
        <v>411</v>
      </c>
      <c r="J3419" s="339"/>
      <c r="K3419" s="339"/>
      <c r="L3419" s="339" t="s">
        <v>409</v>
      </c>
      <c r="M3419" s="339" t="s">
        <v>409</v>
      </c>
      <c r="N3419" s="338" t="s">
        <v>417</v>
      </c>
      <c r="O3419" s="338" t="s">
        <v>409</v>
      </c>
      <c r="P3419" s="338" t="s">
        <v>417</v>
      </c>
    </row>
    <row r="3420" spans="2:16" x14ac:dyDescent="0.25">
      <c r="B3420" s="336" t="s">
        <v>416</v>
      </c>
      <c r="C3420" s="337">
        <v>39203</v>
      </c>
      <c r="D3420" s="338" t="s">
        <v>1772</v>
      </c>
      <c r="E3420" s="336" t="s">
        <v>1060</v>
      </c>
      <c r="F3420" s="338" t="s">
        <v>3293</v>
      </c>
      <c r="G3420" s="338" t="s">
        <v>413</v>
      </c>
      <c r="H3420" s="338" t="s">
        <v>425</v>
      </c>
      <c r="I3420" s="338" t="s">
        <v>411</v>
      </c>
      <c r="J3420" s="339"/>
      <c r="K3420" s="339"/>
      <c r="L3420" s="339"/>
      <c r="M3420" s="339"/>
      <c r="N3420" s="338" t="s">
        <v>417</v>
      </c>
      <c r="O3420" s="338" t="s">
        <v>443</v>
      </c>
      <c r="P3420" s="338" t="s">
        <v>443</v>
      </c>
    </row>
    <row r="3421" spans="2:16" x14ac:dyDescent="0.25">
      <c r="B3421" s="336" t="s">
        <v>416</v>
      </c>
      <c r="C3421" s="337">
        <v>39203</v>
      </c>
      <c r="D3421" s="338" t="s">
        <v>3292</v>
      </c>
      <c r="E3421" s="336" t="s">
        <v>905</v>
      </c>
      <c r="F3421" s="338"/>
      <c r="G3421" s="338" t="s">
        <v>413</v>
      </c>
      <c r="H3421" s="338" t="s">
        <v>412</v>
      </c>
      <c r="I3421" s="338" t="s">
        <v>411</v>
      </c>
      <c r="J3421" s="339"/>
      <c r="K3421" s="339"/>
      <c r="L3421" s="339" t="s">
        <v>409</v>
      </c>
      <c r="M3421" s="339" t="s">
        <v>409</v>
      </c>
      <c r="N3421" s="338" t="s">
        <v>417</v>
      </c>
      <c r="O3421" s="338" t="s">
        <v>409</v>
      </c>
      <c r="P3421" s="338" t="s">
        <v>417</v>
      </c>
    </row>
    <row r="3422" spans="2:16" x14ac:dyDescent="0.25">
      <c r="B3422" s="336" t="s">
        <v>416</v>
      </c>
      <c r="C3422" s="337">
        <v>39203</v>
      </c>
      <c r="D3422" s="338" t="s">
        <v>3291</v>
      </c>
      <c r="E3422" s="336" t="s">
        <v>3290</v>
      </c>
      <c r="F3422" s="338"/>
      <c r="G3422" s="338" t="s">
        <v>413</v>
      </c>
      <c r="H3422" s="338" t="s">
        <v>425</v>
      </c>
      <c r="I3422" s="338" t="s">
        <v>411</v>
      </c>
      <c r="J3422" s="339"/>
      <c r="K3422" s="339"/>
      <c r="L3422" s="339" t="s">
        <v>409</v>
      </c>
      <c r="M3422" s="339" t="s">
        <v>409</v>
      </c>
      <c r="N3422" s="338" t="s">
        <v>417</v>
      </c>
      <c r="O3422" s="338" t="s">
        <v>409</v>
      </c>
      <c r="P3422" s="338" t="s">
        <v>443</v>
      </c>
    </row>
    <row r="3423" spans="2:16" x14ac:dyDescent="0.25">
      <c r="B3423" s="336" t="s">
        <v>416</v>
      </c>
      <c r="C3423" s="337">
        <v>39203</v>
      </c>
      <c r="D3423" s="338" t="s">
        <v>3289</v>
      </c>
      <c r="E3423" s="336" t="s">
        <v>939</v>
      </c>
      <c r="F3423" s="338"/>
      <c r="G3423" s="338" t="s">
        <v>413</v>
      </c>
      <c r="H3423" s="338" t="s">
        <v>425</v>
      </c>
      <c r="I3423" s="338" t="s">
        <v>411</v>
      </c>
      <c r="J3423" s="339"/>
      <c r="K3423" s="339"/>
      <c r="L3423" s="339" t="s">
        <v>409</v>
      </c>
      <c r="M3423" s="339" t="s">
        <v>409</v>
      </c>
      <c r="N3423" s="338" t="s">
        <v>417</v>
      </c>
      <c r="O3423" s="338" t="s">
        <v>409</v>
      </c>
      <c r="P3423" s="338"/>
    </row>
    <row r="3424" spans="2:16" x14ac:dyDescent="0.25">
      <c r="B3424" s="336" t="s">
        <v>416</v>
      </c>
      <c r="C3424" s="337">
        <v>39203</v>
      </c>
      <c r="D3424" s="338" t="s">
        <v>3288</v>
      </c>
      <c r="E3424" s="336" t="s">
        <v>3287</v>
      </c>
      <c r="F3424" s="338" t="s">
        <v>3286</v>
      </c>
      <c r="G3424" s="338" t="s">
        <v>413</v>
      </c>
      <c r="H3424" s="338" t="s">
        <v>425</v>
      </c>
      <c r="I3424" s="338" t="s">
        <v>411</v>
      </c>
      <c r="J3424" s="339"/>
      <c r="K3424" s="339"/>
      <c r="L3424" s="339"/>
      <c r="M3424" s="339"/>
      <c r="N3424" s="338"/>
      <c r="O3424" s="338" t="s">
        <v>417</v>
      </c>
      <c r="P3424" s="338" t="s">
        <v>417</v>
      </c>
    </row>
    <row r="3425" spans="2:16" x14ac:dyDescent="0.25">
      <c r="B3425" s="336" t="s">
        <v>416</v>
      </c>
      <c r="C3425" s="337">
        <v>39202</v>
      </c>
      <c r="D3425" s="338" t="s">
        <v>3285</v>
      </c>
      <c r="E3425" s="336" t="s">
        <v>3284</v>
      </c>
      <c r="F3425" s="338"/>
      <c r="G3425" s="338">
        <v>0</v>
      </c>
      <c r="H3425" s="338" t="s">
        <v>425</v>
      </c>
      <c r="I3425" s="338" t="s">
        <v>411</v>
      </c>
      <c r="J3425" s="339"/>
      <c r="K3425" s="339"/>
      <c r="L3425" s="339" t="s">
        <v>409</v>
      </c>
      <c r="M3425" s="339" t="s">
        <v>409</v>
      </c>
      <c r="N3425" s="338"/>
      <c r="O3425" s="338" t="s">
        <v>409</v>
      </c>
      <c r="P3425" s="338" t="s">
        <v>487</v>
      </c>
    </row>
    <row r="3426" spans="2:16" x14ac:dyDescent="0.25">
      <c r="B3426" s="336" t="s">
        <v>416</v>
      </c>
      <c r="C3426" s="337">
        <v>39202</v>
      </c>
      <c r="D3426" s="338" t="s">
        <v>3283</v>
      </c>
      <c r="E3426" s="336" t="s">
        <v>2587</v>
      </c>
      <c r="F3426" s="338"/>
      <c r="G3426" s="338">
        <v>5.67</v>
      </c>
      <c r="H3426" s="338" t="s">
        <v>425</v>
      </c>
      <c r="I3426" s="338" t="s">
        <v>411</v>
      </c>
      <c r="J3426" s="339"/>
      <c r="K3426" s="339"/>
      <c r="L3426" s="339" t="s">
        <v>409</v>
      </c>
      <c r="M3426" s="339" t="s">
        <v>409</v>
      </c>
      <c r="N3426" s="338"/>
      <c r="O3426" s="338" t="s">
        <v>409</v>
      </c>
      <c r="P3426" s="338" t="s">
        <v>417</v>
      </c>
    </row>
    <row r="3427" spans="2:16" x14ac:dyDescent="0.25">
      <c r="B3427" s="336" t="s">
        <v>416</v>
      </c>
      <c r="C3427" s="337">
        <v>39202</v>
      </c>
      <c r="D3427" s="338" t="s">
        <v>3282</v>
      </c>
      <c r="E3427" s="336" t="s">
        <v>3098</v>
      </c>
      <c r="F3427" s="338" t="s">
        <v>2663</v>
      </c>
      <c r="G3427" s="338" t="s">
        <v>413</v>
      </c>
      <c r="H3427" s="338" t="s">
        <v>412</v>
      </c>
      <c r="I3427" s="338" t="s">
        <v>411</v>
      </c>
      <c r="J3427" s="339"/>
      <c r="K3427" s="339"/>
      <c r="L3427" s="339">
        <v>0.57962100000000005</v>
      </c>
      <c r="M3427" s="339">
        <v>5.40618</v>
      </c>
      <c r="N3427" s="338" t="s">
        <v>417</v>
      </c>
      <c r="O3427" s="338" t="s">
        <v>408</v>
      </c>
      <c r="P3427" s="338" t="s">
        <v>417</v>
      </c>
    </row>
    <row r="3428" spans="2:16" x14ac:dyDescent="0.25">
      <c r="B3428" s="336" t="s">
        <v>416</v>
      </c>
      <c r="C3428" s="337">
        <v>39202</v>
      </c>
      <c r="D3428" s="338" t="s">
        <v>3281</v>
      </c>
      <c r="E3428" s="336" t="s">
        <v>3280</v>
      </c>
      <c r="F3428" s="338" t="s">
        <v>3279</v>
      </c>
      <c r="G3428" s="338" t="s">
        <v>413</v>
      </c>
      <c r="H3428" s="338" t="s">
        <v>425</v>
      </c>
      <c r="I3428" s="338" t="s">
        <v>411</v>
      </c>
      <c r="J3428" s="339"/>
      <c r="K3428" s="339"/>
      <c r="L3428" s="339"/>
      <c r="M3428" s="339"/>
      <c r="N3428" s="338" t="s">
        <v>417</v>
      </c>
      <c r="O3428" s="338"/>
      <c r="P3428" s="338" t="s">
        <v>417</v>
      </c>
    </row>
    <row r="3429" spans="2:16" x14ac:dyDescent="0.25">
      <c r="B3429" s="336" t="s">
        <v>416</v>
      </c>
      <c r="C3429" s="337">
        <v>39202</v>
      </c>
      <c r="D3429" s="338" t="s">
        <v>3278</v>
      </c>
      <c r="E3429" s="336" t="s">
        <v>1008</v>
      </c>
      <c r="F3429" s="338" t="s">
        <v>3277</v>
      </c>
      <c r="G3429" s="338" t="s">
        <v>413</v>
      </c>
      <c r="H3429" s="338" t="s">
        <v>425</v>
      </c>
      <c r="I3429" s="338" t="s">
        <v>411</v>
      </c>
      <c r="J3429" s="339"/>
      <c r="K3429" s="339"/>
      <c r="L3429" s="339"/>
      <c r="M3429" s="339"/>
      <c r="N3429" s="338"/>
      <c r="O3429" s="338" t="s">
        <v>417</v>
      </c>
      <c r="P3429" s="338" t="s">
        <v>443</v>
      </c>
    </row>
    <row r="3430" spans="2:16" x14ac:dyDescent="0.25">
      <c r="B3430" s="336" t="s">
        <v>416</v>
      </c>
      <c r="C3430" s="337">
        <v>39202</v>
      </c>
      <c r="D3430" s="338" t="s">
        <v>3276</v>
      </c>
      <c r="E3430" s="336" t="s">
        <v>3275</v>
      </c>
      <c r="F3430" s="338" t="s">
        <v>3083</v>
      </c>
      <c r="G3430" s="338" t="s">
        <v>413</v>
      </c>
      <c r="H3430" s="338" t="s">
        <v>425</v>
      </c>
      <c r="I3430" s="338" t="s">
        <v>411</v>
      </c>
      <c r="J3430" s="339"/>
      <c r="K3430" s="339"/>
      <c r="L3430" s="339">
        <v>0.978217</v>
      </c>
      <c r="M3430" s="339">
        <v>8.51877</v>
      </c>
      <c r="N3430" s="338"/>
      <c r="O3430" s="338" t="s">
        <v>417</v>
      </c>
      <c r="P3430" s="338" t="s">
        <v>432</v>
      </c>
    </row>
    <row r="3431" spans="2:16" x14ac:dyDescent="0.25">
      <c r="B3431" s="336" t="s">
        <v>416</v>
      </c>
      <c r="C3431" s="337">
        <v>39199</v>
      </c>
      <c r="D3431" s="338" t="s">
        <v>3274</v>
      </c>
      <c r="E3431" s="336" t="s">
        <v>3273</v>
      </c>
      <c r="F3431" s="338" t="s">
        <v>3272</v>
      </c>
      <c r="G3431" s="338" t="s">
        <v>413</v>
      </c>
      <c r="H3431" s="338" t="s">
        <v>425</v>
      </c>
      <c r="I3431" s="338" t="s">
        <v>411</v>
      </c>
      <c r="J3431" s="339"/>
      <c r="K3431" s="339"/>
      <c r="L3431" s="339"/>
      <c r="M3431" s="339"/>
      <c r="N3431" s="338"/>
      <c r="O3431" s="338" t="s">
        <v>443</v>
      </c>
      <c r="P3431" s="338" t="s">
        <v>443</v>
      </c>
    </row>
    <row r="3432" spans="2:16" x14ac:dyDescent="0.25">
      <c r="B3432" s="336" t="s">
        <v>416</v>
      </c>
      <c r="C3432" s="337">
        <v>39199</v>
      </c>
      <c r="D3432" s="338" t="s">
        <v>3271</v>
      </c>
      <c r="E3432" s="336" t="s">
        <v>3270</v>
      </c>
      <c r="F3432" s="338"/>
      <c r="G3432" s="338" t="s">
        <v>413</v>
      </c>
      <c r="H3432" s="338" t="s">
        <v>412</v>
      </c>
      <c r="I3432" s="338" t="s">
        <v>411</v>
      </c>
      <c r="J3432" s="339"/>
      <c r="K3432" s="339"/>
      <c r="L3432" s="339" t="s">
        <v>409</v>
      </c>
      <c r="M3432" s="339" t="s">
        <v>409</v>
      </c>
      <c r="N3432" s="338" t="s">
        <v>417</v>
      </c>
      <c r="O3432" s="338" t="s">
        <v>409</v>
      </c>
      <c r="P3432" s="338" t="s">
        <v>410</v>
      </c>
    </row>
    <row r="3433" spans="2:16" x14ac:dyDescent="0.25">
      <c r="B3433" s="336" t="s">
        <v>416</v>
      </c>
      <c r="C3433" s="337">
        <v>39199</v>
      </c>
      <c r="D3433" s="338" t="s">
        <v>2420</v>
      </c>
      <c r="E3433" s="336" t="s">
        <v>2237</v>
      </c>
      <c r="F3433" s="338"/>
      <c r="G3433" s="338" t="s">
        <v>413</v>
      </c>
      <c r="H3433" s="338" t="s">
        <v>412</v>
      </c>
      <c r="I3433" s="338" t="s">
        <v>411</v>
      </c>
      <c r="J3433" s="339"/>
      <c r="K3433" s="339"/>
      <c r="L3433" s="339" t="s">
        <v>409</v>
      </c>
      <c r="M3433" s="339" t="s">
        <v>409</v>
      </c>
      <c r="N3433" s="338" t="s">
        <v>417</v>
      </c>
      <c r="O3433" s="338" t="s">
        <v>409</v>
      </c>
      <c r="P3433" s="338" t="s">
        <v>410</v>
      </c>
    </row>
    <row r="3434" spans="2:16" x14ac:dyDescent="0.25">
      <c r="B3434" s="336" t="s">
        <v>416</v>
      </c>
      <c r="C3434" s="337">
        <v>39198</v>
      </c>
      <c r="D3434" s="338" t="s">
        <v>3269</v>
      </c>
      <c r="E3434" s="336" t="s">
        <v>3265</v>
      </c>
      <c r="F3434" s="338" t="s">
        <v>3268</v>
      </c>
      <c r="G3434" s="338" t="s">
        <v>413</v>
      </c>
      <c r="H3434" s="338" t="s">
        <v>425</v>
      </c>
      <c r="I3434" s="338" t="s">
        <v>411</v>
      </c>
      <c r="J3434" s="339"/>
      <c r="K3434" s="339"/>
      <c r="L3434" s="339"/>
      <c r="M3434" s="339"/>
      <c r="N3434" s="338"/>
      <c r="O3434" s="338" t="s">
        <v>417</v>
      </c>
      <c r="P3434" s="338" t="s">
        <v>487</v>
      </c>
    </row>
    <row r="3435" spans="2:16" x14ac:dyDescent="0.25">
      <c r="B3435" s="336" t="s">
        <v>416</v>
      </c>
      <c r="C3435" s="337">
        <v>39198</v>
      </c>
      <c r="D3435" s="338" t="s">
        <v>3267</v>
      </c>
      <c r="E3435" s="336" t="s">
        <v>1482</v>
      </c>
      <c r="F3435" s="338"/>
      <c r="G3435" s="338" t="s">
        <v>413</v>
      </c>
      <c r="H3435" s="338" t="s">
        <v>412</v>
      </c>
      <c r="I3435" s="338" t="s">
        <v>411</v>
      </c>
      <c r="J3435" s="339"/>
      <c r="K3435" s="339"/>
      <c r="L3435" s="339" t="s">
        <v>409</v>
      </c>
      <c r="M3435" s="339" t="s">
        <v>409</v>
      </c>
      <c r="N3435" s="338" t="s">
        <v>417</v>
      </c>
      <c r="O3435" s="338" t="s">
        <v>409</v>
      </c>
      <c r="P3435" s="338" t="s">
        <v>417</v>
      </c>
    </row>
    <row r="3436" spans="2:16" x14ac:dyDescent="0.25">
      <c r="B3436" s="336" t="s">
        <v>416</v>
      </c>
      <c r="C3436" s="337">
        <v>39197</v>
      </c>
      <c r="D3436" s="338" t="s">
        <v>3266</v>
      </c>
      <c r="E3436" s="336" t="s">
        <v>3265</v>
      </c>
      <c r="F3436" s="338"/>
      <c r="G3436" s="338" t="s">
        <v>413</v>
      </c>
      <c r="H3436" s="338" t="s">
        <v>412</v>
      </c>
      <c r="I3436" s="338" t="s">
        <v>411</v>
      </c>
      <c r="J3436" s="339"/>
      <c r="K3436" s="339"/>
      <c r="L3436" s="339" t="s">
        <v>409</v>
      </c>
      <c r="M3436" s="339" t="s">
        <v>409</v>
      </c>
      <c r="N3436" s="338" t="s">
        <v>417</v>
      </c>
      <c r="O3436" s="338" t="s">
        <v>409</v>
      </c>
      <c r="P3436" s="338" t="s">
        <v>487</v>
      </c>
    </row>
    <row r="3437" spans="2:16" x14ac:dyDescent="0.25">
      <c r="B3437" s="336" t="s">
        <v>416</v>
      </c>
      <c r="C3437" s="337">
        <v>39197</v>
      </c>
      <c r="D3437" s="338" t="s">
        <v>3264</v>
      </c>
      <c r="E3437" s="336" t="s">
        <v>2501</v>
      </c>
      <c r="F3437" s="338"/>
      <c r="G3437" s="338" t="s">
        <v>413</v>
      </c>
      <c r="H3437" s="338" t="s">
        <v>412</v>
      </c>
      <c r="I3437" s="338" t="s">
        <v>411</v>
      </c>
      <c r="J3437" s="339"/>
      <c r="K3437" s="339"/>
      <c r="L3437" s="339" t="s">
        <v>409</v>
      </c>
      <c r="M3437" s="339" t="s">
        <v>409</v>
      </c>
      <c r="N3437" s="338" t="s">
        <v>443</v>
      </c>
      <c r="O3437" s="338" t="s">
        <v>409</v>
      </c>
      <c r="P3437" s="338" t="s">
        <v>417</v>
      </c>
    </row>
    <row r="3438" spans="2:16" x14ac:dyDescent="0.25">
      <c r="B3438" s="336" t="s">
        <v>459</v>
      </c>
      <c r="C3438" s="337">
        <v>39197</v>
      </c>
      <c r="D3438" s="338" t="s">
        <v>3263</v>
      </c>
      <c r="E3438" s="336" t="s">
        <v>3262</v>
      </c>
      <c r="F3438" s="338"/>
      <c r="G3438" s="338" t="s">
        <v>413</v>
      </c>
      <c r="H3438" s="338" t="s">
        <v>425</v>
      </c>
      <c r="I3438" s="338" t="s">
        <v>411</v>
      </c>
      <c r="J3438" s="339"/>
      <c r="K3438" s="339"/>
      <c r="L3438" s="339" t="s">
        <v>409</v>
      </c>
      <c r="M3438" s="339" t="s">
        <v>409</v>
      </c>
      <c r="N3438" s="338" t="s">
        <v>417</v>
      </c>
      <c r="O3438" s="338" t="s">
        <v>409</v>
      </c>
      <c r="P3438" s="338" t="s">
        <v>443</v>
      </c>
    </row>
    <row r="3439" spans="2:16" x14ac:dyDescent="0.25">
      <c r="B3439" s="336" t="s">
        <v>416</v>
      </c>
      <c r="C3439" s="337">
        <v>39197</v>
      </c>
      <c r="D3439" s="338" t="s">
        <v>692</v>
      </c>
      <c r="E3439" s="336" t="s">
        <v>3261</v>
      </c>
      <c r="F3439" s="338"/>
      <c r="G3439" s="338" t="s">
        <v>413</v>
      </c>
      <c r="H3439" s="338" t="s">
        <v>412</v>
      </c>
      <c r="I3439" s="338" t="s">
        <v>411</v>
      </c>
      <c r="J3439" s="339"/>
      <c r="K3439" s="339"/>
      <c r="L3439" s="339" t="s">
        <v>409</v>
      </c>
      <c r="M3439" s="339" t="s">
        <v>409</v>
      </c>
      <c r="N3439" s="338"/>
      <c r="O3439" s="338" t="s">
        <v>409</v>
      </c>
      <c r="P3439" s="338" t="s">
        <v>410</v>
      </c>
    </row>
    <row r="3440" spans="2:16" x14ac:dyDescent="0.25">
      <c r="B3440" s="336" t="s">
        <v>416</v>
      </c>
      <c r="C3440" s="337">
        <v>39196</v>
      </c>
      <c r="D3440" s="338" t="s">
        <v>3260</v>
      </c>
      <c r="E3440" s="336" t="s">
        <v>2060</v>
      </c>
      <c r="F3440" s="338"/>
      <c r="G3440" s="338" t="s">
        <v>413</v>
      </c>
      <c r="H3440" s="338" t="s">
        <v>412</v>
      </c>
      <c r="I3440" s="338" t="s">
        <v>411</v>
      </c>
      <c r="J3440" s="339"/>
      <c r="K3440" s="339"/>
      <c r="L3440" s="339" t="s">
        <v>409</v>
      </c>
      <c r="M3440" s="339" t="s">
        <v>409</v>
      </c>
      <c r="N3440" s="338" t="s">
        <v>417</v>
      </c>
      <c r="O3440" s="338" t="s">
        <v>409</v>
      </c>
      <c r="P3440" s="338" t="s">
        <v>417</v>
      </c>
    </row>
    <row r="3441" spans="2:16" x14ac:dyDescent="0.25">
      <c r="B3441" s="336" t="s">
        <v>459</v>
      </c>
      <c r="C3441" s="337">
        <v>39196</v>
      </c>
      <c r="D3441" s="338" t="s">
        <v>2798</v>
      </c>
      <c r="E3441" s="336" t="s">
        <v>3259</v>
      </c>
      <c r="F3441" s="338"/>
      <c r="G3441" s="338">
        <v>13</v>
      </c>
      <c r="H3441" s="338" t="s">
        <v>425</v>
      </c>
      <c r="I3441" s="338" t="s">
        <v>411</v>
      </c>
      <c r="J3441" s="339"/>
      <c r="K3441" s="339"/>
      <c r="L3441" s="339" t="s">
        <v>409</v>
      </c>
      <c r="M3441" s="339" t="s">
        <v>409</v>
      </c>
      <c r="N3441" s="338" t="s">
        <v>410</v>
      </c>
      <c r="O3441" s="338" t="s">
        <v>409</v>
      </c>
      <c r="P3441" s="338"/>
    </row>
    <row r="3442" spans="2:16" x14ac:dyDescent="0.25">
      <c r="B3442" s="336" t="s">
        <v>416</v>
      </c>
      <c r="C3442" s="337">
        <v>39195</v>
      </c>
      <c r="D3442" s="338" t="s">
        <v>3258</v>
      </c>
      <c r="E3442" s="336" t="s">
        <v>3257</v>
      </c>
      <c r="F3442" s="338"/>
      <c r="G3442" s="338" t="s">
        <v>413</v>
      </c>
      <c r="H3442" s="338" t="s">
        <v>425</v>
      </c>
      <c r="I3442" s="338" t="s">
        <v>411</v>
      </c>
      <c r="J3442" s="339"/>
      <c r="K3442" s="339"/>
      <c r="L3442" s="339" t="s">
        <v>409</v>
      </c>
      <c r="M3442" s="339" t="s">
        <v>409</v>
      </c>
      <c r="N3442" s="338" t="s">
        <v>417</v>
      </c>
      <c r="O3442" s="338" t="s">
        <v>409</v>
      </c>
      <c r="P3442" s="338" t="s">
        <v>443</v>
      </c>
    </row>
    <row r="3443" spans="2:16" x14ac:dyDescent="0.25">
      <c r="B3443" s="336" t="s">
        <v>416</v>
      </c>
      <c r="C3443" s="337">
        <v>39195</v>
      </c>
      <c r="D3443" s="338" t="s">
        <v>3256</v>
      </c>
      <c r="E3443" s="336" t="s">
        <v>3255</v>
      </c>
      <c r="F3443" s="338" t="s">
        <v>3254</v>
      </c>
      <c r="G3443" s="338">
        <v>1300</v>
      </c>
      <c r="H3443" s="338" t="s">
        <v>412</v>
      </c>
      <c r="I3443" s="338" t="s">
        <v>411</v>
      </c>
      <c r="J3443" s="339"/>
      <c r="K3443" s="339"/>
      <c r="L3443" s="339">
        <v>0.64654900000000004</v>
      </c>
      <c r="M3443" s="339">
        <v>3.6718299999999999</v>
      </c>
      <c r="N3443" s="338" t="s">
        <v>417</v>
      </c>
      <c r="O3443" s="338" t="s">
        <v>417</v>
      </c>
      <c r="P3443" s="338" t="s">
        <v>443</v>
      </c>
    </row>
    <row r="3444" spans="2:16" x14ac:dyDescent="0.25">
      <c r="B3444" s="336" t="s">
        <v>459</v>
      </c>
      <c r="C3444" s="337">
        <v>39195</v>
      </c>
      <c r="D3444" s="338" t="s">
        <v>3253</v>
      </c>
      <c r="E3444" s="336" t="s">
        <v>3252</v>
      </c>
      <c r="F3444" s="338" t="s">
        <v>3251</v>
      </c>
      <c r="G3444" s="338">
        <v>55.93</v>
      </c>
      <c r="H3444" s="338" t="s">
        <v>425</v>
      </c>
      <c r="I3444" s="338" t="s">
        <v>411</v>
      </c>
      <c r="J3444" s="339">
        <v>3.9249900000000002</v>
      </c>
      <c r="K3444" s="339">
        <v>14.3393</v>
      </c>
      <c r="L3444" s="339"/>
      <c r="M3444" s="339"/>
      <c r="N3444" s="338" t="s">
        <v>443</v>
      </c>
      <c r="O3444" s="338"/>
      <c r="P3444" s="338"/>
    </row>
    <row r="3445" spans="2:16" x14ac:dyDescent="0.25">
      <c r="B3445" s="336" t="s">
        <v>416</v>
      </c>
      <c r="C3445" s="337">
        <v>39192</v>
      </c>
      <c r="D3445" s="338" t="s">
        <v>3250</v>
      </c>
      <c r="E3445" s="336" t="s">
        <v>3249</v>
      </c>
      <c r="F3445" s="338"/>
      <c r="G3445" s="338" t="s">
        <v>413</v>
      </c>
      <c r="H3445" s="338" t="s">
        <v>412</v>
      </c>
      <c r="I3445" s="338" t="s">
        <v>411</v>
      </c>
      <c r="J3445" s="339"/>
      <c r="K3445" s="339"/>
      <c r="L3445" s="339" t="s">
        <v>409</v>
      </c>
      <c r="M3445" s="339" t="s">
        <v>409</v>
      </c>
      <c r="N3445" s="338" t="s">
        <v>417</v>
      </c>
      <c r="O3445" s="338" t="s">
        <v>409</v>
      </c>
      <c r="P3445" s="338" t="s">
        <v>417</v>
      </c>
    </row>
    <row r="3446" spans="2:16" x14ac:dyDescent="0.25">
      <c r="B3446" s="336" t="s">
        <v>416</v>
      </c>
      <c r="C3446" s="337">
        <v>39191</v>
      </c>
      <c r="D3446" s="338" t="s">
        <v>3248</v>
      </c>
      <c r="E3446" s="336" t="s">
        <v>3247</v>
      </c>
      <c r="F3446" s="338" t="s">
        <v>653</v>
      </c>
      <c r="G3446" s="338" t="s">
        <v>413</v>
      </c>
      <c r="H3446" s="338" t="s">
        <v>336</v>
      </c>
      <c r="I3446" s="338" t="s">
        <v>411</v>
      </c>
      <c r="J3446" s="339"/>
      <c r="K3446" s="339"/>
      <c r="L3446" s="339">
        <v>0.39988499999999999</v>
      </c>
      <c r="M3446" s="339">
        <v>9.8301999999999996</v>
      </c>
      <c r="N3446" s="338"/>
      <c r="O3446" s="338" t="s">
        <v>417</v>
      </c>
      <c r="P3446" s="338" t="s">
        <v>410</v>
      </c>
    </row>
    <row r="3447" spans="2:16" x14ac:dyDescent="0.25">
      <c r="B3447" s="336" t="s">
        <v>459</v>
      </c>
      <c r="C3447" s="337">
        <v>39190</v>
      </c>
      <c r="D3447" s="338" t="s">
        <v>3246</v>
      </c>
      <c r="E3447" s="336" t="s">
        <v>3245</v>
      </c>
      <c r="F3447" s="338"/>
      <c r="G3447" s="338" t="s">
        <v>413</v>
      </c>
      <c r="H3447" s="338" t="s">
        <v>412</v>
      </c>
      <c r="I3447" s="338" t="s">
        <v>411</v>
      </c>
      <c r="J3447" s="339"/>
      <c r="K3447" s="339"/>
      <c r="L3447" s="339" t="s">
        <v>409</v>
      </c>
      <c r="M3447" s="339" t="s">
        <v>409</v>
      </c>
      <c r="N3447" s="338" t="s">
        <v>432</v>
      </c>
      <c r="O3447" s="338" t="s">
        <v>409</v>
      </c>
      <c r="P3447" s="338" t="s">
        <v>410</v>
      </c>
    </row>
    <row r="3448" spans="2:16" x14ac:dyDescent="0.25">
      <c r="B3448" s="336" t="s">
        <v>459</v>
      </c>
      <c r="C3448" s="337">
        <v>39190</v>
      </c>
      <c r="D3448" s="338" t="s">
        <v>3244</v>
      </c>
      <c r="E3448" s="336" t="s">
        <v>3243</v>
      </c>
      <c r="F3448" s="338"/>
      <c r="G3448" s="338">
        <v>85</v>
      </c>
      <c r="H3448" s="338" t="s">
        <v>425</v>
      </c>
      <c r="I3448" s="338" t="s">
        <v>411</v>
      </c>
      <c r="J3448" s="339"/>
      <c r="K3448" s="339"/>
      <c r="L3448" s="339" t="s">
        <v>409</v>
      </c>
      <c r="M3448" s="339" t="s">
        <v>409</v>
      </c>
      <c r="N3448" s="338" t="s">
        <v>410</v>
      </c>
      <c r="O3448" s="338" t="s">
        <v>409</v>
      </c>
      <c r="P3448" s="338"/>
    </row>
    <row r="3449" spans="2:16" x14ac:dyDescent="0.25">
      <c r="B3449" s="336" t="s">
        <v>416</v>
      </c>
      <c r="C3449" s="337">
        <v>39189</v>
      </c>
      <c r="D3449" s="338" t="s">
        <v>3242</v>
      </c>
      <c r="E3449" s="336" t="s">
        <v>3241</v>
      </c>
      <c r="F3449" s="338"/>
      <c r="G3449" s="338" t="s">
        <v>413</v>
      </c>
      <c r="H3449" s="338" t="s">
        <v>425</v>
      </c>
      <c r="I3449" s="338" t="s">
        <v>411</v>
      </c>
      <c r="J3449" s="339"/>
      <c r="K3449" s="339"/>
      <c r="L3449" s="339" t="s">
        <v>409</v>
      </c>
      <c r="M3449" s="339" t="s">
        <v>409</v>
      </c>
      <c r="N3449" s="338" t="s">
        <v>417</v>
      </c>
      <c r="O3449" s="338" t="s">
        <v>409</v>
      </c>
      <c r="P3449" s="338" t="s">
        <v>417</v>
      </c>
    </row>
    <row r="3450" spans="2:16" x14ac:dyDescent="0.25">
      <c r="B3450" s="336" t="s">
        <v>459</v>
      </c>
      <c r="C3450" s="337">
        <v>39189</v>
      </c>
      <c r="D3450" s="338" t="s">
        <v>3240</v>
      </c>
      <c r="E3450" s="336" t="s">
        <v>3239</v>
      </c>
      <c r="F3450" s="338" t="s">
        <v>3238</v>
      </c>
      <c r="G3450" s="338">
        <v>170.4</v>
      </c>
      <c r="H3450" s="338" t="s">
        <v>507</v>
      </c>
      <c r="I3450" s="338" t="s">
        <v>411</v>
      </c>
      <c r="J3450" s="339">
        <v>0.40185799999999999</v>
      </c>
      <c r="K3450" s="339">
        <v>4.4188400000000003</v>
      </c>
      <c r="L3450" s="339">
        <v>4.7861700000000003</v>
      </c>
      <c r="M3450" s="339">
        <v>17.463799999999999</v>
      </c>
      <c r="N3450" s="338" t="s">
        <v>410</v>
      </c>
      <c r="O3450" s="338" t="s">
        <v>410</v>
      </c>
      <c r="P3450" s="338" t="s">
        <v>417</v>
      </c>
    </row>
    <row r="3451" spans="2:16" x14ac:dyDescent="0.25">
      <c r="B3451" s="336" t="s">
        <v>416</v>
      </c>
      <c r="C3451" s="337">
        <v>39188</v>
      </c>
      <c r="D3451" s="338" t="s">
        <v>3237</v>
      </c>
      <c r="E3451" s="336" t="s">
        <v>3236</v>
      </c>
      <c r="F3451" s="338"/>
      <c r="G3451" s="338" t="s">
        <v>413</v>
      </c>
      <c r="H3451" s="338" t="s">
        <v>412</v>
      </c>
      <c r="I3451" s="338" t="s">
        <v>411</v>
      </c>
      <c r="J3451" s="339"/>
      <c r="K3451" s="339"/>
      <c r="L3451" s="339" t="s">
        <v>409</v>
      </c>
      <c r="M3451" s="339" t="s">
        <v>409</v>
      </c>
      <c r="N3451" s="338" t="s">
        <v>432</v>
      </c>
      <c r="O3451" s="338" t="s">
        <v>409</v>
      </c>
      <c r="P3451" s="338" t="s">
        <v>417</v>
      </c>
    </row>
    <row r="3452" spans="2:16" x14ac:dyDescent="0.25">
      <c r="B3452" s="336" t="s">
        <v>416</v>
      </c>
      <c r="C3452" s="337">
        <v>39188</v>
      </c>
      <c r="D3452" s="338" t="s">
        <v>3235</v>
      </c>
      <c r="E3452" s="336" t="s">
        <v>2190</v>
      </c>
      <c r="F3452" s="338"/>
      <c r="G3452" s="338">
        <v>13.25</v>
      </c>
      <c r="H3452" s="338" t="s">
        <v>425</v>
      </c>
      <c r="I3452" s="338" t="s">
        <v>411</v>
      </c>
      <c r="J3452" s="339"/>
      <c r="K3452" s="339"/>
      <c r="L3452" s="339" t="s">
        <v>409</v>
      </c>
      <c r="M3452" s="339" t="s">
        <v>409</v>
      </c>
      <c r="N3452" s="338"/>
      <c r="O3452" s="338" t="s">
        <v>409</v>
      </c>
      <c r="P3452" s="338" t="s">
        <v>417</v>
      </c>
    </row>
    <row r="3453" spans="2:16" x14ac:dyDescent="0.25">
      <c r="B3453" s="336" t="s">
        <v>416</v>
      </c>
      <c r="C3453" s="337">
        <v>39185</v>
      </c>
      <c r="D3453" s="338" t="s">
        <v>3234</v>
      </c>
      <c r="E3453" s="336" t="s">
        <v>3233</v>
      </c>
      <c r="F3453" s="338"/>
      <c r="G3453" s="338">
        <v>25</v>
      </c>
      <c r="H3453" s="338" t="s">
        <v>425</v>
      </c>
      <c r="I3453" s="338" t="s">
        <v>411</v>
      </c>
      <c r="J3453" s="339"/>
      <c r="K3453" s="339"/>
      <c r="L3453" s="339" t="s">
        <v>409</v>
      </c>
      <c r="M3453" s="339" t="s">
        <v>409</v>
      </c>
      <c r="N3453" s="338" t="s">
        <v>417</v>
      </c>
      <c r="O3453" s="338" t="s">
        <v>409</v>
      </c>
      <c r="P3453" s="338" t="s">
        <v>443</v>
      </c>
    </row>
    <row r="3454" spans="2:16" x14ac:dyDescent="0.25">
      <c r="B3454" s="336" t="s">
        <v>416</v>
      </c>
      <c r="C3454" s="337">
        <v>39185</v>
      </c>
      <c r="D3454" s="338" t="s">
        <v>3232</v>
      </c>
      <c r="E3454" s="336" t="s">
        <v>3093</v>
      </c>
      <c r="F3454" s="338"/>
      <c r="G3454" s="338">
        <v>4.0999999999999996</v>
      </c>
      <c r="H3454" s="338" t="s">
        <v>425</v>
      </c>
      <c r="I3454" s="338" t="s">
        <v>411</v>
      </c>
      <c r="J3454" s="339"/>
      <c r="K3454" s="339"/>
      <c r="L3454" s="339" t="s">
        <v>409</v>
      </c>
      <c r="M3454" s="339" t="s">
        <v>409</v>
      </c>
      <c r="N3454" s="338"/>
      <c r="O3454" s="338" t="s">
        <v>409</v>
      </c>
      <c r="P3454" s="338" t="s">
        <v>417</v>
      </c>
    </row>
    <row r="3455" spans="2:16" x14ac:dyDescent="0.25">
      <c r="B3455" s="336" t="s">
        <v>416</v>
      </c>
      <c r="C3455" s="337">
        <v>39184</v>
      </c>
      <c r="D3455" s="338" t="s">
        <v>3231</v>
      </c>
      <c r="E3455" s="336" t="s">
        <v>1217</v>
      </c>
      <c r="F3455" s="338"/>
      <c r="G3455" s="338" t="s">
        <v>413</v>
      </c>
      <c r="H3455" s="338" t="s">
        <v>412</v>
      </c>
      <c r="I3455" s="338" t="s">
        <v>411</v>
      </c>
      <c r="J3455" s="339"/>
      <c r="K3455" s="339"/>
      <c r="L3455" s="339" t="s">
        <v>409</v>
      </c>
      <c r="M3455" s="339" t="s">
        <v>409</v>
      </c>
      <c r="N3455" s="338" t="s">
        <v>410</v>
      </c>
      <c r="O3455" s="338" t="s">
        <v>409</v>
      </c>
      <c r="P3455" s="338" t="s">
        <v>410</v>
      </c>
    </row>
    <row r="3456" spans="2:16" x14ac:dyDescent="0.25">
      <c r="B3456" s="336" t="s">
        <v>416</v>
      </c>
      <c r="C3456" s="337">
        <v>39184</v>
      </c>
      <c r="D3456" s="338" t="s">
        <v>3230</v>
      </c>
      <c r="E3456" s="336" t="s">
        <v>2060</v>
      </c>
      <c r="F3456" s="338"/>
      <c r="G3456" s="338" t="s">
        <v>413</v>
      </c>
      <c r="H3456" s="338" t="s">
        <v>425</v>
      </c>
      <c r="I3456" s="338" t="s">
        <v>411</v>
      </c>
      <c r="J3456" s="339"/>
      <c r="K3456" s="339"/>
      <c r="L3456" s="339" t="s">
        <v>409</v>
      </c>
      <c r="M3456" s="339" t="s">
        <v>409</v>
      </c>
      <c r="N3456" s="338" t="s">
        <v>417</v>
      </c>
      <c r="O3456" s="338" t="s">
        <v>409</v>
      </c>
      <c r="P3456" s="338" t="s">
        <v>417</v>
      </c>
    </row>
    <row r="3457" spans="2:16" x14ac:dyDescent="0.25">
      <c r="B3457" s="336" t="s">
        <v>416</v>
      </c>
      <c r="C3457" s="337">
        <v>39184</v>
      </c>
      <c r="D3457" s="338" t="s">
        <v>3229</v>
      </c>
      <c r="E3457" s="336" t="s">
        <v>3228</v>
      </c>
      <c r="F3457" s="338" t="s">
        <v>3227</v>
      </c>
      <c r="G3457" s="338">
        <v>23</v>
      </c>
      <c r="H3457" s="338" t="s">
        <v>425</v>
      </c>
      <c r="I3457" s="338" t="s">
        <v>411</v>
      </c>
      <c r="J3457" s="339"/>
      <c r="K3457" s="339"/>
      <c r="L3457" s="339"/>
      <c r="M3457" s="339"/>
      <c r="N3457" s="338"/>
      <c r="O3457" s="338" t="s">
        <v>417</v>
      </c>
      <c r="P3457" s="338" t="s">
        <v>417</v>
      </c>
    </row>
    <row r="3458" spans="2:16" x14ac:dyDescent="0.25">
      <c r="B3458" s="336" t="s">
        <v>416</v>
      </c>
      <c r="C3458" s="337">
        <v>39183</v>
      </c>
      <c r="D3458" s="338" t="s">
        <v>3226</v>
      </c>
      <c r="E3458" s="336" t="s">
        <v>3225</v>
      </c>
      <c r="F3458" s="338"/>
      <c r="G3458" s="338" t="s">
        <v>413</v>
      </c>
      <c r="H3458" s="338" t="s">
        <v>412</v>
      </c>
      <c r="I3458" s="338" t="s">
        <v>411</v>
      </c>
      <c r="J3458" s="339"/>
      <c r="K3458" s="339"/>
      <c r="L3458" s="339" t="s">
        <v>409</v>
      </c>
      <c r="M3458" s="339" t="s">
        <v>409</v>
      </c>
      <c r="N3458" s="338" t="s">
        <v>432</v>
      </c>
      <c r="O3458" s="338" t="s">
        <v>409</v>
      </c>
      <c r="P3458" s="338" t="s">
        <v>417</v>
      </c>
    </row>
    <row r="3459" spans="2:16" x14ac:dyDescent="0.25">
      <c r="B3459" s="336" t="s">
        <v>416</v>
      </c>
      <c r="C3459" s="337">
        <v>39183</v>
      </c>
      <c r="D3459" s="338" t="s">
        <v>3224</v>
      </c>
      <c r="E3459" s="336" t="s">
        <v>453</v>
      </c>
      <c r="F3459" s="338" t="s">
        <v>3223</v>
      </c>
      <c r="G3459" s="338" t="s">
        <v>413</v>
      </c>
      <c r="H3459" s="338" t="s">
        <v>425</v>
      </c>
      <c r="I3459" s="338" t="s">
        <v>411</v>
      </c>
      <c r="J3459" s="339"/>
      <c r="K3459" s="339"/>
      <c r="L3459" s="339"/>
      <c r="M3459" s="339"/>
      <c r="N3459" s="338" t="s">
        <v>417</v>
      </c>
      <c r="O3459" s="338" t="s">
        <v>417</v>
      </c>
      <c r="P3459" s="338" t="s">
        <v>443</v>
      </c>
    </row>
    <row r="3460" spans="2:16" x14ac:dyDescent="0.25">
      <c r="B3460" s="336" t="s">
        <v>459</v>
      </c>
      <c r="C3460" s="337">
        <v>39183</v>
      </c>
      <c r="D3460" s="338" t="s">
        <v>1543</v>
      </c>
      <c r="E3460" s="336" t="s">
        <v>3222</v>
      </c>
      <c r="F3460" s="338"/>
      <c r="G3460" s="338">
        <v>9</v>
      </c>
      <c r="H3460" s="338" t="s">
        <v>425</v>
      </c>
      <c r="I3460" s="338" t="s">
        <v>411</v>
      </c>
      <c r="J3460" s="339"/>
      <c r="K3460" s="339"/>
      <c r="L3460" s="339" t="s">
        <v>409</v>
      </c>
      <c r="M3460" s="339" t="s">
        <v>409</v>
      </c>
      <c r="N3460" s="338" t="s">
        <v>417</v>
      </c>
      <c r="O3460" s="338" t="s">
        <v>409</v>
      </c>
      <c r="P3460" s="338"/>
    </row>
    <row r="3461" spans="2:16" x14ac:dyDescent="0.25">
      <c r="B3461" s="336" t="s">
        <v>416</v>
      </c>
      <c r="C3461" s="337">
        <v>39182</v>
      </c>
      <c r="D3461" s="338" t="s">
        <v>3221</v>
      </c>
      <c r="E3461" s="336" t="s">
        <v>3218</v>
      </c>
      <c r="F3461" s="338" t="s">
        <v>3220</v>
      </c>
      <c r="G3461" s="338" t="s">
        <v>413</v>
      </c>
      <c r="H3461" s="338" t="s">
        <v>425</v>
      </c>
      <c r="I3461" s="338" t="s">
        <v>411</v>
      </c>
      <c r="J3461" s="339"/>
      <c r="K3461" s="339"/>
      <c r="L3461" s="339"/>
      <c r="M3461" s="339"/>
      <c r="N3461" s="338"/>
      <c r="O3461" s="338" t="s">
        <v>543</v>
      </c>
      <c r="P3461" s="338" t="s">
        <v>417</v>
      </c>
    </row>
    <row r="3462" spans="2:16" x14ac:dyDescent="0.25">
      <c r="B3462" s="336" t="s">
        <v>416</v>
      </c>
      <c r="C3462" s="337">
        <v>39182</v>
      </c>
      <c r="D3462" s="338" t="s">
        <v>3219</v>
      </c>
      <c r="E3462" s="336" t="s">
        <v>3218</v>
      </c>
      <c r="F3462" s="338"/>
      <c r="G3462" s="338" t="s">
        <v>413</v>
      </c>
      <c r="H3462" s="338" t="s">
        <v>412</v>
      </c>
      <c r="I3462" s="338" t="s">
        <v>411</v>
      </c>
      <c r="J3462" s="339"/>
      <c r="K3462" s="339"/>
      <c r="L3462" s="339" t="s">
        <v>409</v>
      </c>
      <c r="M3462" s="339" t="s">
        <v>409</v>
      </c>
      <c r="N3462" s="338" t="s">
        <v>417</v>
      </c>
      <c r="O3462" s="338" t="s">
        <v>409</v>
      </c>
      <c r="P3462" s="338" t="s">
        <v>417</v>
      </c>
    </row>
    <row r="3463" spans="2:16" x14ac:dyDescent="0.25">
      <c r="B3463" s="336" t="s">
        <v>416</v>
      </c>
      <c r="C3463" s="337">
        <v>39182</v>
      </c>
      <c r="D3463" s="338" t="s">
        <v>3217</v>
      </c>
      <c r="E3463" s="336" t="s">
        <v>2163</v>
      </c>
      <c r="F3463" s="338"/>
      <c r="G3463" s="338">
        <v>400</v>
      </c>
      <c r="H3463" s="338" t="s">
        <v>418</v>
      </c>
      <c r="I3463" s="338" t="s">
        <v>411</v>
      </c>
      <c r="J3463" s="339"/>
      <c r="K3463" s="339"/>
      <c r="L3463" s="339" t="s">
        <v>409</v>
      </c>
      <c r="M3463" s="339" t="s">
        <v>409</v>
      </c>
      <c r="N3463" s="338" t="s">
        <v>417</v>
      </c>
      <c r="O3463" s="338" t="s">
        <v>409</v>
      </c>
      <c r="P3463" s="338" t="s">
        <v>410</v>
      </c>
    </row>
    <row r="3464" spans="2:16" x14ac:dyDescent="0.25">
      <c r="B3464" s="336" t="s">
        <v>416</v>
      </c>
      <c r="C3464" s="337">
        <v>39181</v>
      </c>
      <c r="D3464" s="338" t="s">
        <v>3216</v>
      </c>
      <c r="E3464" s="336" t="s">
        <v>2353</v>
      </c>
      <c r="F3464" s="338" t="s">
        <v>3064</v>
      </c>
      <c r="G3464" s="338">
        <v>8</v>
      </c>
      <c r="H3464" s="338" t="s">
        <v>425</v>
      </c>
      <c r="I3464" s="338" t="s">
        <v>411</v>
      </c>
      <c r="J3464" s="339"/>
      <c r="K3464" s="339"/>
      <c r="L3464" s="339"/>
      <c r="M3464" s="339"/>
      <c r="N3464" s="338"/>
      <c r="O3464" s="338" t="s">
        <v>417</v>
      </c>
      <c r="P3464" s="338" t="s">
        <v>408</v>
      </c>
    </row>
    <row r="3465" spans="2:16" x14ac:dyDescent="0.25">
      <c r="B3465" s="336" t="s">
        <v>416</v>
      </c>
      <c r="C3465" s="337">
        <v>39181</v>
      </c>
      <c r="D3465" s="338" t="s">
        <v>3215</v>
      </c>
      <c r="E3465" s="336" t="s">
        <v>3214</v>
      </c>
      <c r="F3465" s="338"/>
      <c r="G3465" s="338">
        <v>10.59</v>
      </c>
      <c r="H3465" s="338" t="s">
        <v>780</v>
      </c>
      <c r="I3465" s="338" t="s">
        <v>411</v>
      </c>
      <c r="J3465" s="339"/>
      <c r="K3465" s="339"/>
      <c r="L3465" s="339" t="s">
        <v>409</v>
      </c>
      <c r="M3465" s="339" t="s">
        <v>409</v>
      </c>
      <c r="N3465" s="338" t="s">
        <v>410</v>
      </c>
      <c r="O3465" s="338" t="s">
        <v>409</v>
      </c>
      <c r="P3465" s="338" t="s">
        <v>410</v>
      </c>
    </row>
    <row r="3466" spans="2:16" x14ac:dyDescent="0.25">
      <c r="B3466" s="336" t="s">
        <v>416</v>
      </c>
      <c r="C3466" s="337">
        <v>39181</v>
      </c>
      <c r="D3466" s="338" t="s">
        <v>3213</v>
      </c>
      <c r="E3466" s="336" t="s">
        <v>3212</v>
      </c>
      <c r="F3466" s="338"/>
      <c r="G3466" s="338">
        <v>18.329999999999998</v>
      </c>
      <c r="H3466" s="338" t="s">
        <v>425</v>
      </c>
      <c r="I3466" s="338" t="s">
        <v>411</v>
      </c>
      <c r="J3466" s="339">
        <v>0.13435800000000001</v>
      </c>
      <c r="K3466" s="339"/>
      <c r="L3466" s="339" t="s">
        <v>409</v>
      </c>
      <c r="M3466" s="339" t="s">
        <v>409</v>
      </c>
      <c r="N3466" s="338" t="s">
        <v>417</v>
      </c>
      <c r="O3466" s="338" t="s">
        <v>409</v>
      </c>
      <c r="P3466" s="338" t="s">
        <v>417</v>
      </c>
    </row>
    <row r="3467" spans="2:16" x14ac:dyDescent="0.25">
      <c r="B3467" s="336" t="s">
        <v>416</v>
      </c>
      <c r="C3467" s="337">
        <v>39177</v>
      </c>
      <c r="D3467" s="338" t="s">
        <v>3211</v>
      </c>
      <c r="E3467" s="336" t="s">
        <v>3210</v>
      </c>
      <c r="F3467" s="338" t="s">
        <v>2364</v>
      </c>
      <c r="G3467" s="338">
        <v>370</v>
      </c>
      <c r="H3467" s="338" t="s">
        <v>425</v>
      </c>
      <c r="I3467" s="338" t="s">
        <v>411</v>
      </c>
      <c r="J3467" s="339"/>
      <c r="K3467" s="339"/>
      <c r="L3467" s="339"/>
      <c r="M3467" s="339"/>
      <c r="N3467" s="338" t="s">
        <v>417</v>
      </c>
      <c r="O3467" s="338" t="s">
        <v>443</v>
      </c>
      <c r="P3467" s="338" t="s">
        <v>443</v>
      </c>
    </row>
    <row r="3468" spans="2:16" x14ac:dyDescent="0.25">
      <c r="B3468" s="336" t="s">
        <v>416</v>
      </c>
      <c r="C3468" s="337">
        <v>39177</v>
      </c>
      <c r="D3468" s="338" t="s">
        <v>3211</v>
      </c>
      <c r="E3468" s="336" t="s">
        <v>3210</v>
      </c>
      <c r="F3468" s="338" t="s">
        <v>3209</v>
      </c>
      <c r="G3468" s="338">
        <v>370</v>
      </c>
      <c r="H3468" s="338" t="s">
        <v>425</v>
      </c>
      <c r="I3468" s="338" t="s">
        <v>411</v>
      </c>
      <c r="J3468" s="339"/>
      <c r="K3468" s="339"/>
      <c r="L3468" s="339"/>
      <c r="M3468" s="339"/>
      <c r="N3468" s="338" t="s">
        <v>417</v>
      </c>
      <c r="O3468" s="338"/>
      <c r="P3468" s="338" t="s">
        <v>443</v>
      </c>
    </row>
    <row r="3469" spans="2:16" x14ac:dyDescent="0.25">
      <c r="B3469" s="336" t="s">
        <v>416</v>
      </c>
      <c r="C3469" s="337">
        <v>39176</v>
      </c>
      <c r="D3469" s="338" t="s">
        <v>3208</v>
      </c>
      <c r="E3469" s="336" t="s">
        <v>3027</v>
      </c>
      <c r="F3469" s="338"/>
      <c r="G3469" s="338" t="s">
        <v>413</v>
      </c>
      <c r="H3469" s="338" t="s">
        <v>412</v>
      </c>
      <c r="I3469" s="338" t="s">
        <v>411</v>
      </c>
      <c r="J3469" s="339"/>
      <c r="K3469" s="339"/>
      <c r="L3469" s="339" t="s">
        <v>409</v>
      </c>
      <c r="M3469" s="339" t="s">
        <v>409</v>
      </c>
      <c r="N3469" s="338" t="s">
        <v>417</v>
      </c>
      <c r="O3469" s="338" t="s">
        <v>409</v>
      </c>
      <c r="P3469" s="338" t="s">
        <v>417</v>
      </c>
    </row>
    <row r="3470" spans="2:16" x14ac:dyDescent="0.25">
      <c r="B3470" s="336" t="s">
        <v>1441</v>
      </c>
      <c r="C3470" s="337">
        <v>39176</v>
      </c>
      <c r="D3470" s="338" t="s">
        <v>3207</v>
      </c>
      <c r="E3470" s="336" t="s">
        <v>1926</v>
      </c>
      <c r="F3470" s="338"/>
      <c r="G3470" s="338" t="s">
        <v>413</v>
      </c>
      <c r="H3470" s="338" t="s">
        <v>412</v>
      </c>
      <c r="I3470" s="338" t="s">
        <v>411</v>
      </c>
      <c r="J3470" s="339"/>
      <c r="K3470" s="339"/>
      <c r="L3470" s="339" t="s">
        <v>409</v>
      </c>
      <c r="M3470" s="339" t="s">
        <v>409</v>
      </c>
      <c r="N3470" s="338" t="s">
        <v>410</v>
      </c>
      <c r="O3470" s="338" t="s">
        <v>409</v>
      </c>
      <c r="P3470" s="338" t="s">
        <v>417</v>
      </c>
    </row>
    <row r="3471" spans="2:16" x14ac:dyDescent="0.25">
      <c r="B3471" s="336" t="s">
        <v>1441</v>
      </c>
      <c r="C3471" s="337">
        <v>39175</v>
      </c>
      <c r="D3471" s="338" t="s">
        <v>3206</v>
      </c>
      <c r="E3471" s="336" t="s">
        <v>3205</v>
      </c>
      <c r="F3471" s="338"/>
      <c r="G3471" s="338" t="s">
        <v>413</v>
      </c>
      <c r="H3471" s="338" t="s">
        <v>412</v>
      </c>
      <c r="I3471" s="338" t="s">
        <v>411</v>
      </c>
      <c r="J3471" s="339"/>
      <c r="K3471" s="339"/>
      <c r="L3471" s="339" t="s">
        <v>409</v>
      </c>
      <c r="M3471" s="339" t="s">
        <v>409</v>
      </c>
      <c r="N3471" s="338" t="s">
        <v>417</v>
      </c>
      <c r="O3471" s="338" t="s">
        <v>409</v>
      </c>
      <c r="P3471" s="338" t="s">
        <v>432</v>
      </c>
    </row>
    <row r="3472" spans="2:16" x14ac:dyDescent="0.25">
      <c r="B3472" s="336" t="s">
        <v>542</v>
      </c>
      <c r="C3472" s="337">
        <v>39175</v>
      </c>
      <c r="D3472" s="338" t="s">
        <v>444</v>
      </c>
      <c r="E3472" s="336" t="s">
        <v>539</v>
      </c>
      <c r="F3472" s="338"/>
      <c r="G3472" s="338">
        <v>77.209999999999994</v>
      </c>
      <c r="H3472" s="338"/>
      <c r="I3472" s="338" t="s">
        <v>411</v>
      </c>
      <c r="J3472" s="339"/>
      <c r="K3472" s="339"/>
      <c r="L3472" s="339" t="s">
        <v>409</v>
      </c>
      <c r="M3472" s="339" t="s">
        <v>409</v>
      </c>
      <c r="N3472" s="338" t="s">
        <v>417</v>
      </c>
      <c r="O3472" s="338" t="s">
        <v>409</v>
      </c>
      <c r="P3472" s="338" t="s">
        <v>417</v>
      </c>
    </row>
    <row r="3473" spans="2:16" x14ac:dyDescent="0.25">
      <c r="B3473" s="336" t="s">
        <v>416</v>
      </c>
      <c r="C3473" s="337">
        <v>39175</v>
      </c>
      <c r="D3473" s="338" t="s">
        <v>3204</v>
      </c>
      <c r="E3473" s="336" t="s">
        <v>1603</v>
      </c>
      <c r="F3473" s="338"/>
      <c r="G3473" s="338" t="s">
        <v>413</v>
      </c>
      <c r="H3473" s="338" t="s">
        <v>425</v>
      </c>
      <c r="I3473" s="338" t="s">
        <v>411</v>
      </c>
      <c r="J3473" s="339"/>
      <c r="K3473" s="339"/>
      <c r="L3473" s="339" t="s">
        <v>409</v>
      </c>
      <c r="M3473" s="339" t="s">
        <v>409</v>
      </c>
      <c r="N3473" s="338" t="s">
        <v>417</v>
      </c>
      <c r="O3473" s="338" t="s">
        <v>409</v>
      </c>
      <c r="P3473" s="338" t="s">
        <v>443</v>
      </c>
    </row>
    <row r="3474" spans="2:16" x14ac:dyDescent="0.25">
      <c r="B3474" s="336" t="s">
        <v>459</v>
      </c>
      <c r="C3474" s="337">
        <v>39175</v>
      </c>
      <c r="D3474" s="338" t="s">
        <v>3203</v>
      </c>
      <c r="E3474" s="336" t="s">
        <v>3202</v>
      </c>
      <c r="F3474" s="338"/>
      <c r="G3474" s="338">
        <v>13.4</v>
      </c>
      <c r="H3474" s="338" t="s">
        <v>425</v>
      </c>
      <c r="I3474" s="338" t="s">
        <v>411</v>
      </c>
      <c r="J3474" s="339"/>
      <c r="K3474" s="339"/>
      <c r="L3474" s="339" t="s">
        <v>409</v>
      </c>
      <c r="M3474" s="339" t="s">
        <v>409</v>
      </c>
      <c r="N3474" s="338" t="s">
        <v>410</v>
      </c>
      <c r="O3474" s="338" t="s">
        <v>409</v>
      </c>
      <c r="P3474" s="338"/>
    </row>
    <row r="3475" spans="2:16" x14ac:dyDescent="0.25">
      <c r="B3475" s="336" t="s">
        <v>459</v>
      </c>
      <c r="C3475" s="337">
        <v>39174</v>
      </c>
      <c r="D3475" s="338" t="s">
        <v>3201</v>
      </c>
      <c r="E3475" s="336" t="s">
        <v>3200</v>
      </c>
      <c r="F3475" s="338"/>
      <c r="G3475" s="338" t="s">
        <v>413</v>
      </c>
      <c r="H3475" s="338" t="s">
        <v>425</v>
      </c>
      <c r="I3475" s="338" t="s">
        <v>411</v>
      </c>
      <c r="J3475" s="339"/>
      <c r="K3475" s="339"/>
      <c r="L3475" s="339" t="s">
        <v>409</v>
      </c>
      <c r="M3475" s="339" t="s">
        <v>409</v>
      </c>
      <c r="N3475" s="338" t="s">
        <v>612</v>
      </c>
      <c r="O3475" s="338" t="s">
        <v>409</v>
      </c>
      <c r="P3475" s="338"/>
    </row>
    <row r="3476" spans="2:16" x14ac:dyDescent="0.25">
      <c r="B3476" s="336" t="s">
        <v>416</v>
      </c>
      <c r="C3476" s="337">
        <v>39172</v>
      </c>
      <c r="D3476" s="338" t="s">
        <v>3199</v>
      </c>
      <c r="E3476" s="336" t="s">
        <v>3198</v>
      </c>
      <c r="F3476" s="338"/>
      <c r="G3476" s="338" t="s">
        <v>413</v>
      </c>
      <c r="H3476" s="338" t="s">
        <v>412</v>
      </c>
      <c r="I3476" s="338" t="s">
        <v>411</v>
      </c>
      <c r="J3476" s="339"/>
      <c r="K3476" s="339"/>
      <c r="L3476" s="339" t="s">
        <v>409</v>
      </c>
      <c r="M3476" s="339" t="s">
        <v>409</v>
      </c>
      <c r="N3476" s="338" t="s">
        <v>417</v>
      </c>
      <c r="O3476" s="338" t="s">
        <v>409</v>
      </c>
      <c r="P3476" s="338" t="s">
        <v>443</v>
      </c>
    </row>
    <row r="3477" spans="2:16" x14ac:dyDescent="0.25">
      <c r="B3477" s="336" t="s">
        <v>416</v>
      </c>
      <c r="C3477" s="337">
        <v>39171</v>
      </c>
      <c r="D3477" s="338" t="s">
        <v>3197</v>
      </c>
      <c r="E3477" s="336" t="s">
        <v>3196</v>
      </c>
      <c r="F3477" s="338" t="s">
        <v>436</v>
      </c>
      <c r="G3477" s="338" t="s">
        <v>413</v>
      </c>
      <c r="H3477" s="338" t="s">
        <v>412</v>
      </c>
      <c r="I3477" s="338" t="s">
        <v>411</v>
      </c>
      <c r="J3477" s="339"/>
      <c r="K3477" s="339"/>
      <c r="L3477" s="339">
        <v>2.4805899999999999</v>
      </c>
      <c r="M3477" s="339">
        <v>12.783200000000001</v>
      </c>
      <c r="N3477" s="338" t="s">
        <v>417</v>
      </c>
      <c r="O3477" s="338" t="s">
        <v>417</v>
      </c>
      <c r="P3477" s="338" t="s">
        <v>417</v>
      </c>
    </row>
    <row r="3478" spans="2:16" x14ac:dyDescent="0.25">
      <c r="B3478" s="336" t="s">
        <v>416</v>
      </c>
      <c r="C3478" s="337">
        <v>39171</v>
      </c>
      <c r="D3478" s="338" t="s">
        <v>3195</v>
      </c>
      <c r="E3478" s="336" t="s">
        <v>3194</v>
      </c>
      <c r="F3478" s="338" t="s">
        <v>3193</v>
      </c>
      <c r="G3478" s="338" t="s">
        <v>413</v>
      </c>
      <c r="H3478" s="338" t="s">
        <v>412</v>
      </c>
      <c r="I3478" s="338" t="s">
        <v>411</v>
      </c>
      <c r="J3478" s="339"/>
      <c r="K3478" s="339"/>
      <c r="L3478" s="339">
        <v>0.99770599999999998</v>
      </c>
      <c r="M3478" s="339">
        <v>8.8465100000000003</v>
      </c>
      <c r="N3478" s="338" t="s">
        <v>432</v>
      </c>
      <c r="O3478" s="338" t="s">
        <v>432</v>
      </c>
      <c r="P3478" s="338" t="s">
        <v>417</v>
      </c>
    </row>
    <row r="3479" spans="2:16" x14ac:dyDescent="0.25">
      <c r="B3479" s="336" t="s">
        <v>416</v>
      </c>
      <c r="C3479" s="337">
        <v>39170</v>
      </c>
      <c r="D3479" s="338" t="s">
        <v>3192</v>
      </c>
      <c r="E3479" s="336" t="s">
        <v>1454</v>
      </c>
      <c r="F3479" s="338" t="s">
        <v>3191</v>
      </c>
      <c r="G3479" s="338" t="s">
        <v>413</v>
      </c>
      <c r="H3479" s="338" t="s">
        <v>425</v>
      </c>
      <c r="I3479" s="338" t="s">
        <v>411</v>
      </c>
      <c r="J3479" s="339"/>
      <c r="K3479" s="339"/>
      <c r="L3479" s="339"/>
      <c r="M3479" s="339"/>
      <c r="N3479" s="338"/>
      <c r="O3479" s="338" t="s">
        <v>432</v>
      </c>
      <c r="P3479" s="338" t="s">
        <v>417</v>
      </c>
    </row>
    <row r="3480" spans="2:16" x14ac:dyDescent="0.25">
      <c r="B3480" s="336" t="s">
        <v>416</v>
      </c>
      <c r="C3480" s="337">
        <v>39168</v>
      </c>
      <c r="D3480" s="338" t="s">
        <v>3190</v>
      </c>
      <c r="E3480" s="336" t="s">
        <v>1812</v>
      </c>
      <c r="F3480" s="338"/>
      <c r="G3480" s="338">
        <v>97</v>
      </c>
      <c r="H3480" s="338" t="s">
        <v>425</v>
      </c>
      <c r="I3480" s="338" t="s">
        <v>411</v>
      </c>
      <c r="J3480" s="339"/>
      <c r="K3480" s="339"/>
      <c r="L3480" s="339" t="s">
        <v>409</v>
      </c>
      <c r="M3480" s="339" t="s">
        <v>409</v>
      </c>
      <c r="N3480" s="338" t="s">
        <v>432</v>
      </c>
      <c r="O3480" s="338" t="s">
        <v>409</v>
      </c>
      <c r="P3480" s="338" t="s">
        <v>417</v>
      </c>
    </row>
    <row r="3481" spans="2:16" x14ac:dyDescent="0.25">
      <c r="B3481" s="336" t="s">
        <v>416</v>
      </c>
      <c r="C3481" s="337">
        <v>39168</v>
      </c>
      <c r="D3481" s="338" t="s">
        <v>3189</v>
      </c>
      <c r="E3481" s="336" t="s">
        <v>468</v>
      </c>
      <c r="F3481" s="338"/>
      <c r="G3481" s="338" t="s">
        <v>413</v>
      </c>
      <c r="H3481" s="338" t="s">
        <v>412</v>
      </c>
      <c r="I3481" s="338" t="s">
        <v>411</v>
      </c>
      <c r="J3481" s="339"/>
      <c r="K3481" s="339"/>
      <c r="L3481" s="339" t="s">
        <v>409</v>
      </c>
      <c r="M3481" s="339" t="s">
        <v>409</v>
      </c>
      <c r="N3481" s="338" t="s">
        <v>417</v>
      </c>
      <c r="O3481" s="338" t="s">
        <v>409</v>
      </c>
      <c r="P3481" s="338" t="s">
        <v>443</v>
      </c>
    </row>
    <row r="3482" spans="2:16" x14ac:dyDescent="0.25">
      <c r="B3482" s="336" t="s">
        <v>416</v>
      </c>
      <c r="C3482" s="337">
        <v>39168</v>
      </c>
      <c r="D3482" s="338" t="s">
        <v>3188</v>
      </c>
      <c r="E3482" s="336" t="s">
        <v>1038</v>
      </c>
      <c r="F3482" s="338"/>
      <c r="G3482" s="338" t="s">
        <v>413</v>
      </c>
      <c r="H3482" s="338" t="s">
        <v>336</v>
      </c>
      <c r="I3482" s="338" t="s">
        <v>411</v>
      </c>
      <c r="J3482" s="339"/>
      <c r="K3482" s="339"/>
      <c r="L3482" s="339" t="s">
        <v>409</v>
      </c>
      <c r="M3482" s="339" t="s">
        <v>409</v>
      </c>
      <c r="N3482" s="338" t="s">
        <v>417</v>
      </c>
      <c r="O3482" s="338" t="s">
        <v>409</v>
      </c>
      <c r="P3482" s="338" t="s">
        <v>417</v>
      </c>
    </row>
    <row r="3483" spans="2:16" x14ac:dyDescent="0.25">
      <c r="B3483" s="336" t="s">
        <v>416</v>
      </c>
      <c r="C3483" s="337">
        <v>39167</v>
      </c>
      <c r="D3483" s="338" t="s">
        <v>3187</v>
      </c>
      <c r="E3483" s="336" t="s">
        <v>3185</v>
      </c>
      <c r="F3483" s="338"/>
      <c r="G3483" s="338">
        <v>41</v>
      </c>
      <c r="H3483" s="338" t="s">
        <v>425</v>
      </c>
      <c r="I3483" s="338" t="s">
        <v>411</v>
      </c>
      <c r="J3483" s="339"/>
      <c r="K3483" s="339"/>
      <c r="L3483" s="339"/>
      <c r="M3483" s="339"/>
      <c r="N3483" s="338" t="s">
        <v>410</v>
      </c>
      <c r="O3483" s="338"/>
      <c r="P3483" s="338" t="s">
        <v>417</v>
      </c>
    </row>
    <row r="3484" spans="2:16" x14ac:dyDescent="0.25">
      <c r="B3484" s="336" t="s">
        <v>416</v>
      </c>
      <c r="C3484" s="337">
        <v>39167</v>
      </c>
      <c r="D3484" s="338" t="s">
        <v>3186</v>
      </c>
      <c r="E3484" s="336" t="s">
        <v>3185</v>
      </c>
      <c r="F3484" s="338" t="s">
        <v>3184</v>
      </c>
      <c r="G3484" s="338">
        <v>41</v>
      </c>
      <c r="H3484" s="338" t="s">
        <v>425</v>
      </c>
      <c r="I3484" s="338" t="s">
        <v>411</v>
      </c>
      <c r="J3484" s="339"/>
      <c r="K3484" s="339"/>
      <c r="L3484" s="339"/>
      <c r="M3484" s="339"/>
      <c r="N3484" s="338" t="s">
        <v>443</v>
      </c>
      <c r="O3484" s="338"/>
      <c r="P3484" s="338" t="s">
        <v>417</v>
      </c>
    </row>
    <row r="3485" spans="2:16" x14ac:dyDescent="0.25">
      <c r="B3485" s="336" t="s">
        <v>416</v>
      </c>
      <c r="C3485" s="337">
        <v>39164</v>
      </c>
      <c r="D3485" s="338" t="s">
        <v>3183</v>
      </c>
      <c r="E3485" s="336" t="s">
        <v>441</v>
      </c>
      <c r="F3485" s="338" t="s">
        <v>3182</v>
      </c>
      <c r="G3485" s="338" t="s">
        <v>413</v>
      </c>
      <c r="H3485" s="338" t="s">
        <v>425</v>
      </c>
      <c r="I3485" s="338" t="s">
        <v>411</v>
      </c>
      <c r="J3485" s="339"/>
      <c r="K3485" s="339"/>
      <c r="L3485" s="339"/>
      <c r="M3485" s="339"/>
      <c r="N3485" s="338"/>
      <c r="O3485" s="338" t="s">
        <v>417</v>
      </c>
      <c r="P3485" s="338" t="s">
        <v>417</v>
      </c>
    </row>
    <row r="3486" spans="2:16" x14ac:dyDescent="0.25">
      <c r="B3486" s="336" t="s">
        <v>542</v>
      </c>
      <c r="C3486" s="337">
        <v>39164</v>
      </c>
      <c r="D3486" s="338" t="s">
        <v>2418</v>
      </c>
      <c r="E3486" s="336" t="s">
        <v>539</v>
      </c>
      <c r="F3486" s="338"/>
      <c r="G3486" s="338">
        <v>5250</v>
      </c>
      <c r="H3486" s="338"/>
      <c r="I3486" s="338" t="s">
        <v>411</v>
      </c>
      <c r="J3486" s="339">
        <v>0.73873</v>
      </c>
      <c r="K3486" s="339">
        <v>9.4480699999999995</v>
      </c>
      <c r="L3486" s="339" t="s">
        <v>409</v>
      </c>
      <c r="M3486" s="339" t="s">
        <v>409</v>
      </c>
      <c r="N3486" s="338" t="s">
        <v>417</v>
      </c>
      <c r="O3486" s="338" t="s">
        <v>409</v>
      </c>
      <c r="P3486" s="338" t="s">
        <v>417</v>
      </c>
    </row>
    <row r="3487" spans="2:16" x14ac:dyDescent="0.25">
      <c r="B3487" s="336" t="s">
        <v>541</v>
      </c>
      <c r="C3487" s="337">
        <v>39164</v>
      </c>
      <c r="D3487" s="338" t="s">
        <v>3181</v>
      </c>
      <c r="E3487" s="336" t="s">
        <v>539</v>
      </c>
      <c r="F3487" s="338" t="s">
        <v>498</v>
      </c>
      <c r="G3487" s="338" t="s">
        <v>413</v>
      </c>
      <c r="H3487" s="338"/>
      <c r="I3487" s="338" t="s">
        <v>411</v>
      </c>
      <c r="J3487" s="339"/>
      <c r="K3487" s="339"/>
      <c r="L3487" s="339"/>
      <c r="M3487" s="339"/>
      <c r="N3487" s="338" t="s">
        <v>417</v>
      </c>
      <c r="O3487" s="338" t="s">
        <v>410</v>
      </c>
      <c r="P3487" s="338" t="s">
        <v>409</v>
      </c>
    </row>
    <row r="3488" spans="2:16" x14ac:dyDescent="0.25">
      <c r="B3488" s="336" t="s">
        <v>416</v>
      </c>
      <c r="C3488" s="337">
        <v>39164</v>
      </c>
      <c r="D3488" s="338" t="s">
        <v>956</v>
      </c>
      <c r="E3488" s="336" t="s">
        <v>438</v>
      </c>
      <c r="F3488" s="338"/>
      <c r="G3488" s="338" t="s">
        <v>413</v>
      </c>
      <c r="H3488" s="338" t="s">
        <v>429</v>
      </c>
      <c r="I3488" s="338" t="s">
        <v>411</v>
      </c>
      <c r="J3488" s="339"/>
      <c r="K3488" s="339"/>
      <c r="L3488" s="339" t="s">
        <v>409</v>
      </c>
      <c r="M3488" s="339" t="s">
        <v>409</v>
      </c>
      <c r="N3488" s="338"/>
      <c r="O3488" s="338" t="s">
        <v>409</v>
      </c>
      <c r="P3488" s="338" t="s">
        <v>417</v>
      </c>
    </row>
    <row r="3489" spans="2:16" x14ac:dyDescent="0.25">
      <c r="B3489" s="336" t="s">
        <v>416</v>
      </c>
      <c r="C3489" s="337">
        <v>39163</v>
      </c>
      <c r="D3489" s="338" t="s">
        <v>3180</v>
      </c>
      <c r="E3489" s="336" t="s">
        <v>3179</v>
      </c>
      <c r="F3489" s="338" t="s">
        <v>3178</v>
      </c>
      <c r="G3489" s="338">
        <v>75.650000000000006</v>
      </c>
      <c r="H3489" s="338" t="s">
        <v>425</v>
      </c>
      <c r="I3489" s="338" t="s">
        <v>411</v>
      </c>
      <c r="J3489" s="339"/>
      <c r="K3489" s="339"/>
      <c r="L3489" s="339">
        <v>1.38489</v>
      </c>
      <c r="M3489" s="339">
        <v>6.8740100000000002</v>
      </c>
      <c r="N3489" s="338"/>
      <c r="O3489" s="338" t="s">
        <v>417</v>
      </c>
      <c r="P3489" s="338" t="s">
        <v>417</v>
      </c>
    </row>
    <row r="3490" spans="2:16" x14ac:dyDescent="0.25">
      <c r="B3490" s="336" t="s">
        <v>416</v>
      </c>
      <c r="C3490" s="337">
        <v>39163</v>
      </c>
      <c r="D3490" s="338" t="s">
        <v>3177</v>
      </c>
      <c r="E3490" s="336" t="s">
        <v>3176</v>
      </c>
      <c r="F3490" s="338"/>
      <c r="G3490" s="338">
        <v>86</v>
      </c>
      <c r="H3490" s="338" t="s">
        <v>425</v>
      </c>
      <c r="I3490" s="338" t="s">
        <v>411</v>
      </c>
      <c r="J3490" s="339"/>
      <c r="K3490" s="339"/>
      <c r="L3490" s="339" t="s">
        <v>409</v>
      </c>
      <c r="M3490" s="339" t="s">
        <v>409</v>
      </c>
      <c r="N3490" s="338" t="s">
        <v>417</v>
      </c>
      <c r="O3490" s="338" t="s">
        <v>409</v>
      </c>
      <c r="P3490" s="338" t="s">
        <v>417</v>
      </c>
    </row>
    <row r="3491" spans="2:16" x14ac:dyDescent="0.25">
      <c r="B3491" s="336" t="s">
        <v>416</v>
      </c>
      <c r="C3491" s="337">
        <v>39162</v>
      </c>
      <c r="D3491" s="338" t="s">
        <v>3175</v>
      </c>
      <c r="E3491" s="336" t="s">
        <v>3174</v>
      </c>
      <c r="F3491" s="338"/>
      <c r="G3491" s="338" t="s">
        <v>413</v>
      </c>
      <c r="H3491" s="338" t="s">
        <v>412</v>
      </c>
      <c r="I3491" s="338" t="s">
        <v>411</v>
      </c>
      <c r="J3491" s="339"/>
      <c r="K3491" s="339"/>
      <c r="L3491" s="339" t="s">
        <v>409</v>
      </c>
      <c r="M3491" s="339" t="s">
        <v>409</v>
      </c>
      <c r="N3491" s="338" t="s">
        <v>417</v>
      </c>
      <c r="O3491" s="338" t="s">
        <v>409</v>
      </c>
      <c r="P3491" s="338" t="s">
        <v>417</v>
      </c>
    </row>
    <row r="3492" spans="2:16" x14ac:dyDescent="0.25">
      <c r="B3492" s="336" t="s">
        <v>416</v>
      </c>
      <c r="C3492" s="337">
        <v>39162</v>
      </c>
      <c r="D3492" s="338" t="s">
        <v>2850</v>
      </c>
      <c r="E3492" s="336" t="s">
        <v>939</v>
      </c>
      <c r="F3492" s="338" t="s">
        <v>2849</v>
      </c>
      <c r="G3492" s="338" t="s">
        <v>413</v>
      </c>
      <c r="H3492" s="338" t="s">
        <v>412</v>
      </c>
      <c r="I3492" s="338" t="s">
        <v>411</v>
      </c>
      <c r="J3492" s="339"/>
      <c r="K3492" s="339"/>
      <c r="L3492" s="339"/>
      <c r="M3492" s="339"/>
      <c r="N3492" s="338" t="s">
        <v>410</v>
      </c>
      <c r="O3492" s="338"/>
      <c r="P3492" s="338"/>
    </row>
    <row r="3493" spans="2:16" x14ac:dyDescent="0.25">
      <c r="B3493" s="336" t="s">
        <v>416</v>
      </c>
      <c r="C3493" s="337">
        <v>39161</v>
      </c>
      <c r="D3493" s="338" t="s">
        <v>3173</v>
      </c>
      <c r="E3493" s="336" t="s">
        <v>1708</v>
      </c>
      <c r="F3493" s="338"/>
      <c r="G3493" s="338">
        <v>2846.08</v>
      </c>
      <c r="H3493" s="338" t="s">
        <v>425</v>
      </c>
      <c r="I3493" s="338" t="s">
        <v>411</v>
      </c>
      <c r="J3493" s="339"/>
      <c r="K3493" s="339"/>
      <c r="L3493" s="339" t="s">
        <v>409</v>
      </c>
      <c r="M3493" s="339" t="s">
        <v>409</v>
      </c>
      <c r="N3493" s="338" t="s">
        <v>417</v>
      </c>
      <c r="O3493" s="338" t="s">
        <v>409</v>
      </c>
      <c r="P3493" s="338" t="s">
        <v>443</v>
      </c>
    </row>
    <row r="3494" spans="2:16" x14ac:dyDescent="0.25">
      <c r="B3494" s="336" t="s">
        <v>416</v>
      </c>
      <c r="C3494" s="337">
        <v>39161</v>
      </c>
      <c r="D3494" s="338" t="s">
        <v>1634</v>
      </c>
      <c r="E3494" s="336" t="s">
        <v>2096</v>
      </c>
      <c r="F3494" s="338" t="s">
        <v>1633</v>
      </c>
      <c r="G3494" s="338" t="s">
        <v>413</v>
      </c>
      <c r="H3494" s="338" t="s">
        <v>412</v>
      </c>
      <c r="I3494" s="338" t="s">
        <v>411</v>
      </c>
      <c r="J3494" s="339"/>
      <c r="K3494" s="339"/>
      <c r="L3494" s="339">
        <v>9.4700000000000006</v>
      </c>
      <c r="M3494" s="339"/>
      <c r="N3494" s="338" t="s">
        <v>417</v>
      </c>
      <c r="O3494" s="338" t="s">
        <v>410</v>
      </c>
      <c r="P3494" s="338" t="s">
        <v>432</v>
      </c>
    </row>
    <row r="3495" spans="2:16" x14ac:dyDescent="0.25">
      <c r="B3495" s="336" t="s">
        <v>416</v>
      </c>
      <c r="C3495" s="337">
        <v>39161</v>
      </c>
      <c r="D3495" s="338" t="s">
        <v>3172</v>
      </c>
      <c r="E3495" s="336" t="s">
        <v>3171</v>
      </c>
      <c r="F3495" s="338"/>
      <c r="G3495" s="338" t="s">
        <v>413</v>
      </c>
      <c r="H3495" s="338" t="s">
        <v>425</v>
      </c>
      <c r="I3495" s="338" t="s">
        <v>411</v>
      </c>
      <c r="J3495" s="339"/>
      <c r="K3495" s="339"/>
      <c r="L3495" s="339" t="s">
        <v>409</v>
      </c>
      <c r="M3495" s="339" t="s">
        <v>409</v>
      </c>
      <c r="N3495" s="338" t="s">
        <v>417</v>
      </c>
      <c r="O3495" s="338" t="s">
        <v>409</v>
      </c>
      <c r="P3495" s="338" t="s">
        <v>443</v>
      </c>
    </row>
    <row r="3496" spans="2:16" x14ac:dyDescent="0.25">
      <c r="B3496" s="336" t="s">
        <v>416</v>
      </c>
      <c r="C3496" s="337">
        <v>39160</v>
      </c>
      <c r="D3496" s="338" t="s">
        <v>3170</v>
      </c>
      <c r="E3496" s="336" t="s">
        <v>447</v>
      </c>
      <c r="F3496" s="338" t="s">
        <v>3169</v>
      </c>
      <c r="G3496" s="338">
        <v>3.2</v>
      </c>
      <c r="H3496" s="338" t="s">
        <v>425</v>
      </c>
      <c r="I3496" s="338" t="s">
        <v>411</v>
      </c>
      <c r="J3496" s="339"/>
      <c r="K3496" s="339"/>
      <c r="L3496" s="339"/>
      <c r="M3496" s="339"/>
      <c r="N3496" s="338" t="s">
        <v>417</v>
      </c>
      <c r="O3496" s="338" t="s">
        <v>417</v>
      </c>
      <c r="P3496" s="338" t="s">
        <v>417</v>
      </c>
    </row>
    <row r="3497" spans="2:16" x14ac:dyDescent="0.25">
      <c r="B3497" s="336" t="s">
        <v>459</v>
      </c>
      <c r="C3497" s="337">
        <v>39160</v>
      </c>
      <c r="D3497" s="338" t="s">
        <v>3168</v>
      </c>
      <c r="E3497" s="336" t="s">
        <v>3167</v>
      </c>
      <c r="F3497" s="338"/>
      <c r="G3497" s="338" t="s">
        <v>413</v>
      </c>
      <c r="H3497" s="338" t="s">
        <v>412</v>
      </c>
      <c r="I3497" s="338" t="s">
        <v>411</v>
      </c>
      <c r="J3497" s="339"/>
      <c r="K3497" s="339"/>
      <c r="L3497" s="339" t="s">
        <v>409</v>
      </c>
      <c r="M3497" s="339" t="s">
        <v>409</v>
      </c>
      <c r="N3497" s="338" t="s">
        <v>417</v>
      </c>
      <c r="O3497" s="338" t="s">
        <v>409</v>
      </c>
      <c r="P3497" s="338" t="s">
        <v>432</v>
      </c>
    </row>
    <row r="3498" spans="2:16" x14ac:dyDescent="0.25">
      <c r="B3498" s="336" t="s">
        <v>416</v>
      </c>
      <c r="C3498" s="337">
        <v>39160</v>
      </c>
      <c r="D3498" s="338" t="s">
        <v>3166</v>
      </c>
      <c r="E3498" s="336" t="s">
        <v>3165</v>
      </c>
      <c r="F3498" s="338"/>
      <c r="G3498" s="338">
        <v>0.1</v>
      </c>
      <c r="H3498" s="338" t="s">
        <v>425</v>
      </c>
      <c r="I3498" s="338" t="s">
        <v>411</v>
      </c>
      <c r="J3498" s="339"/>
      <c r="K3498" s="339"/>
      <c r="L3498" s="339" t="s">
        <v>409</v>
      </c>
      <c r="M3498" s="339" t="s">
        <v>409</v>
      </c>
      <c r="N3498" s="338"/>
      <c r="O3498" s="338" t="s">
        <v>409</v>
      </c>
      <c r="P3498" s="338" t="s">
        <v>417</v>
      </c>
    </row>
    <row r="3499" spans="2:16" x14ac:dyDescent="0.25">
      <c r="B3499" s="336" t="s">
        <v>416</v>
      </c>
      <c r="C3499" s="337">
        <v>39160</v>
      </c>
      <c r="D3499" s="338" t="s">
        <v>3164</v>
      </c>
      <c r="E3499" s="336" t="s">
        <v>2839</v>
      </c>
      <c r="F3499" s="338"/>
      <c r="G3499" s="338" t="s">
        <v>413</v>
      </c>
      <c r="H3499" s="338" t="s">
        <v>429</v>
      </c>
      <c r="I3499" s="338" t="s">
        <v>411</v>
      </c>
      <c r="J3499" s="339"/>
      <c r="K3499" s="339"/>
      <c r="L3499" s="339" t="s">
        <v>409</v>
      </c>
      <c r="M3499" s="339" t="s">
        <v>409</v>
      </c>
      <c r="N3499" s="338"/>
      <c r="O3499" s="338" t="s">
        <v>409</v>
      </c>
      <c r="P3499" s="338" t="s">
        <v>417</v>
      </c>
    </row>
    <row r="3500" spans="2:16" x14ac:dyDescent="0.25">
      <c r="B3500" s="336" t="s">
        <v>416</v>
      </c>
      <c r="C3500" s="337">
        <v>39160</v>
      </c>
      <c r="D3500" s="338" t="s">
        <v>3163</v>
      </c>
      <c r="E3500" s="336" t="s">
        <v>1140</v>
      </c>
      <c r="F3500" s="338" t="s">
        <v>1309</v>
      </c>
      <c r="G3500" s="338">
        <v>45</v>
      </c>
      <c r="H3500" s="338" t="s">
        <v>425</v>
      </c>
      <c r="I3500" s="338" t="s">
        <v>411</v>
      </c>
      <c r="J3500" s="339"/>
      <c r="K3500" s="339"/>
      <c r="L3500" s="339"/>
      <c r="M3500" s="339"/>
      <c r="N3500" s="338"/>
      <c r="O3500" s="338" t="s">
        <v>417</v>
      </c>
      <c r="P3500" s="338" t="s">
        <v>417</v>
      </c>
    </row>
    <row r="3501" spans="2:16" x14ac:dyDescent="0.25">
      <c r="B3501" s="336" t="s">
        <v>416</v>
      </c>
      <c r="C3501" s="337">
        <v>39156</v>
      </c>
      <c r="D3501" s="338" t="s">
        <v>3162</v>
      </c>
      <c r="E3501" s="336" t="s">
        <v>3161</v>
      </c>
      <c r="F3501" s="338"/>
      <c r="G3501" s="338" t="s">
        <v>413</v>
      </c>
      <c r="H3501" s="338" t="s">
        <v>412</v>
      </c>
      <c r="I3501" s="338" t="s">
        <v>411</v>
      </c>
      <c r="J3501" s="339"/>
      <c r="K3501" s="339"/>
      <c r="L3501" s="339" t="s">
        <v>409</v>
      </c>
      <c r="M3501" s="339" t="s">
        <v>409</v>
      </c>
      <c r="N3501" s="338" t="s">
        <v>417</v>
      </c>
      <c r="O3501" s="338" t="s">
        <v>409</v>
      </c>
      <c r="P3501" s="338" t="s">
        <v>543</v>
      </c>
    </row>
    <row r="3502" spans="2:16" x14ac:dyDescent="0.25">
      <c r="B3502" s="336" t="s">
        <v>416</v>
      </c>
      <c r="C3502" s="337">
        <v>39156</v>
      </c>
      <c r="D3502" s="338" t="s">
        <v>956</v>
      </c>
      <c r="E3502" s="336" t="s">
        <v>477</v>
      </c>
      <c r="F3502" s="338" t="s">
        <v>3160</v>
      </c>
      <c r="G3502" s="338">
        <v>6.3</v>
      </c>
      <c r="H3502" s="338" t="s">
        <v>425</v>
      </c>
      <c r="I3502" s="338" t="s">
        <v>411</v>
      </c>
      <c r="J3502" s="339"/>
      <c r="K3502" s="339"/>
      <c r="L3502" s="339"/>
      <c r="M3502" s="339"/>
      <c r="N3502" s="338"/>
      <c r="O3502" s="338" t="s">
        <v>417</v>
      </c>
      <c r="P3502" s="338" t="s">
        <v>417</v>
      </c>
    </row>
    <row r="3503" spans="2:16" x14ac:dyDescent="0.25">
      <c r="B3503" s="336" t="s">
        <v>416</v>
      </c>
      <c r="C3503" s="337">
        <v>39155</v>
      </c>
      <c r="D3503" s="338" t="s">
        <v>3159</v>
      </c>
      <c r="E3503" s="336" t="s">
        <v>3158</v>
      </c>
      <c r="F3503" s="338"/>
      <c r="G3503" s="338">
        <v>59</v>
      </c>
      <c r="H3503" s="338" t="s">
        <v>425</v>
      </c>
      <c r="I3503" s="338" t="s">
        <v>411</v>
      </c>
      <c r="J3503" s="339"/>
      <c r="K3503" s="339"/>
      <c r="L3503" s="339" t="s">
        <v>409</v>
      </c>
      <c r="M3503" s="339" t="s">
        <v>409</v>
      </c>
      <c r="N3503" s="338" t="s">
        <v>417</v>
      </c>
      <c r="O3503" s="338" t="s">
        <v>409</v>
      </c>
      <c r="P3503" s="338" t="s">
        <v>443</v>
      </c>
    </row>
    <row r="3504" spans="2:16" x14ac:dyDescent="0.25">
      <c r="B3504" s="336" t="s">
        <v>416</v>
      </c>
      <c r="C3504" s="337">
        <v>39155</v>
      </c>
      <c r="D3504" s="338" t="s">
        <v>3157</v>
      </c>
      <c r="E3504" s="336" t="s">
        <v>3156</v>
      </c>
      <c r="F3504" s="338" t="s">
        <v>3155</v>
      </c>
      <c r="G3504" s="338">
        <v>37</v>
      </c>
      <c r="H3504" s="338" t="s">
        <v>425</v>
      </c>
      <c r="I3504" s="338" t="s">
        <v>411</v>
      </c>
      <c r="J3504" s="339"/>
      <c r="K3504" s="339"/>
      <c r="L3504" s="339"/>
      <c r="M3504" s="339"/>
      <c r="N3504" s="338"/>
      <c r="O3504" s="338" t="s">
        <v>417</v>
      </c>
      <c r="P3504" s="338" t="s">
        <v>417</v>
      </c>
    </row>
    <row r="3505" spans="2:16" x14ac:dyDescent="0.25">
      <c r="B3505" s="336" t="s">
        <v>416</v>
      </c>
      <c r="C3505" s="337">
        <v>39155</v>
      </c>
      <c r="D3505" s="338" t="s">
        <v>3154</v>
      </c>
      <c r="E3505" s="336" t="s">
        <v>3153</v>
      </c>
      <c r="F3505" s="338"/>
      <c r="G3505" s="338">
        <v>3.24</v>
      </c>
      <c r="H3505" s="338" t="s">
        <v>425</v>
      </c>
      <c r="I3505" s="338" t="s">
        <v>411</v>
      </c>
      <c r="J3505" s="339"/>
      <c r="K3505" s="339"/>
      <c r="L3505" s="339" t="s">
        <v>409</v>
      </c>
      <c r="M3505" s="339" t="s">
        <v>409</v>
      </c>
      <c r="N3505" s="338" t="s">
        <v>417</v>
      </c>
      <c r="O3505" s="338" t="s">
        <v>409</v>
      </c>
      <c r="P3505" s="338" t="s">
        <v>417</v>
      </c>
    </row>
    <row r="3506" spans="2:16" x14ac:dyDescent="0.25">
      <c r="B3506" s="336" t="s">
        <v>416</v>
      </c>
      <c r="C3506" s="337">
        <v>39155</v>
      </c>
      <c r="D3506" s="338" t="s">
        <v>3152</v>
      </c>
      <c r="E3506" s="336" t="s">
        <v>3151</v>
      </c>
      <c r="F3506" s="338" t="s">
        <v>3009</v>
      </c>
      <c r="G3506" s="338" t="s">
        <v>413</v>
      </c>
      <c r="H3506" s="338" t="s">
        <v>425</v>
      </c>
      <c r="I3506" s="338" t="s">
        <v>411</v>
      </c>
      <c r="J3506" s="339"/>
      <c r="K3506" s="339"/>
      <c r="L3506" s="339">
        <v>0.249226</v>
      </c>
      <c r="M3506" s="339">
        <v>9.2123899999999992</v>
      </c>
      <c r="N3506" s="338"/>
      <c r="O3506" s="338" t="s">
        <v>410</v>
      </c>
      <c r="P3506" s="338" t="s">
        <v>482</v>
      </c>
    </row>
    <row r="3507" spans="2:16" x14ac:dyDescent="0.25">
      <c r="B3507" s="336" t="s">
        <v>416</v>
      </c>
      <c r="C3507" s="337">
        <v>39155</v>
      </c>
      <c r="D3507" s="338" t="s">
        <v>3150</v>
      </c>
      <c r="E3507" s="336" t="s">
        <v>3149</v>
      </c>
      <c r="F3507" s="338" t="s">
        <v>2133</v>
      </c>
      <c r="G3507" s="338" t="s">
        <v>413</v>
      </c>
      <c r="H3507" s="338" t="s">
        <v>336</v>
      </c>
      <c r="I3507" s="338" t="s">
        <v>411</v>
      </c>
      <c r="J3507" s="339"/>
      <c r="K3507" s="339"/>
      <c r="L3507" s="339">
        <v>2.9449200000000002</v>
      </c>
      <c r="M3507" s="339">
        <v>12.550800000000001</v>
      </c>
      <c r="N3507" s="338"/>
      <c r="O3507" s="338" t="s">
        <v>417</v>
      </c>
      <c r="P3507" s="338" t="s">
        <v>487</v>
      </c>
    </row>
    <row r="3508" spans="2:16" x14ac:dyDescent="0.25">
      <c r="B3508" s="336" t="s">
        <v>416</v>
      </c>
      <c r="C3508" s="337">
        <v>39154</v>
      </c>
      <c r="D3508" s="338" t="s">
        <v>3148</v>
      </c>
      <c r="E3508" s="336" t="s">
        <v>3147</v>
      </c>
      <c r="F3508" s="338" t="s">
        <v>1317</v>
      </c>
      <c r="G3508" s="338" t="s">
        <v>413</v>
      </c>
      <c r="H3508" s="338" t="s">
        <v>425</v>
      </c>
      <c r="I3508" s="338" t="s">
        <v>411</v>
      </c>
      <c r="J3508" s="339"/>
      <c r="K3508" s="339"/>
      <c r="L3508" s="339">
        <v>0.38016</v>
      </c>
      <c r="M3508" s="339">
        <v>6.6719400000000002</v>
      </c>
      <c r="N3508" s="338"/>
      <c r="O3508" s="338" t="s">
        <v>417</v>
      </c>
      <c r="P3508" s="338" t="s">
        <v>443</v>
      </c>
    </row>
    <row r="3509" spans="2:16" x14ac:dyDescent="0.25">
      <c r="B3509" s="336" t="s">
        <v>416</v>
      </c>
      <c r="C3509" s="337">
        <v>39154</v>
      </c>
      <c r="D3509" s="338" t="s">
        <v>3146</v>
      </c>
      <c r="E3509" s="336" t="s">
        <v>3145</v>
      </c>
      <c r="F3509" s="338"/>
      <c r="G3509" s="338" t="s">
        <v>413</v>
      </c>
      <c r="H3509" s="338" t="s">
        <v>412</v>
      </c>
      <c r="I3509" s="338" t="s">
        <v>411</v>
      </c>
      <c r="J3509" s="339"/>
      <c r="K3509" s="339"/>
      <c r="L3509" s="339" t="s">
        <v>409</v>
      </c>
      <c r="M3509" s="339" t="s">
        <v>409</v>
      </c>
      <c r="N3509" s="338"/>
      <c r="O3509" s="338" t="s">
        <v>409</v>
      </c>
      <c r="P3509" s="338" t="s">
        <v>487</v>
      </c>
    </row>
    <row r="3510" spans="2:16" x14ac:dyDescent="0.25">
      <c r="B3510" s="336" t="s">
        <v>416</v>
      </c>
      <c r="C3510" s="337">
        <v>39153</v>
      </c>
      <c r="D3510" s="338" t="s">
        <v>3144</v>
      </c>
      <c r="E3510" s="336" t="s">
        <v>3143</v>
      </c>
      <c r="F3510" s="338"/>
      <c r="G3510" s="338" t="s">
        <v>413</v>
      </c>
      <c r="H3510" s="338" t="s">
        <v>412</v>
      </c>
      <c r="I3510" s="338" t="s">
        <v>411</v>
      </c>
      <c r="J3510" s="339"/>
      <c r="K3510" s="339"/>
      <c r="L3510" s="339" t="s">
        <v>409</v>
      </c>
      <c r="M3510" s="339" t="s">
        <v>409</v>
      </c>
      <c r="N3510" s="338" t="s">
        <v>417</v>
      </c>
      <c r="O3510" s="338" t="s">
        <v>409</v>
      </c>
      <c r="P3510" s="338" t="s">
        <v>417</v>
      </c>
    </row>
    <row r="3511" spans="2:16" x14ac:dyDescent="0.25">
      <c r="B3511" s="336" t="s">
        <v>416</v>
      </c>
      <c r="C3511" s="337">
        <v>39153</v>
      </c>
      <c r="D3511" s="338" t="s">
        <v>856</v>
      </c>
      <c r="E3511" s="336" t="s">
        <v>3142</v>
      </c>
      <c r="F3511" s="338"/>
      <c r="G3511" s="338">
        <v>661.5</v>
      </c>
      <c r="H3511" s="338" t="s">
        <v>425</v>
      </c>
      <c r="I3511" s="338" t="s">
        <v>411</v>
      </c>
      <c r="J3511" s="339"/>
      <c r="K3511" s="339"/>
      <c r="L3511" s="339" t="s">
        <v>409</v>
      </c>
      <c r="M3511" s="339" t="s">
        <v>409</v>
      </c>
      <c r="N3511" s="338" t="s">
        <v>417</v>
      </c>
      <c r="O3511" s="338" t="s">
        <v>409</v>
      </c>
      <c r="P3511" s="338" t="s">
        <v>417</v>
      </c>
    </row>
    <row r="3512" spans="2:16" x14ac:dyDescent="0.25">
      <c r="B3512" s="336" t="s">
        <v>416</v>
      </c>
      <c r="C3512" s="337">
        <v>39153</v>
      </c>
      <c r="D3512" s="338" t="s">
        <v>3141</v>
      </c>
      <c r="E3512" s="336" t="s">
        <v>3140</v>
      </c>
      <c r="F3512" s="338"/>
      <c r="G3512" s="338" t="s">
        <v>413</v>
      </c>
      <c r="H3512" s="338" t="s">
        <v>425</v>
      </c>
      <c r="I3512" s="338" t="s">
        <v>411</v>
      </c>
      <c r="J3512" s="339"/>
      <c r="K3512" s="339"/>
      <c r="L3512" s="339" t="s">
        <v>409</v>
      </c>
      <c r="M3512" s="339" t="s">
        <v>409</v>
      </c>
      <c r="N3512" s="338"/>
      <c r="O3512" s="338" t="s">
        <v>409</v>
      </c>
      <c r="P3512" s="338"/>
    </row>
    <row r="3513" spans="2:16" x14ac:dyDescent="0.25">
      <c r="B3513" s="336" t="s">
        <v>416</v>
      </c>
      <c r="C3513" s="337">
        <v>39153</v>
      </c>
      <c r="D3513" s="338" t="s">
        <v>3139</v>
      </c>
      <c r="E3513" s="336" t="s">
        <v>3138</v>
      </c>
      <c r="F3513" s="338"/>
      <c r="G3513" s="338">
        <v>7321.03</v>
      </c>
      <c r="H3513" s="338" t="s">
        <v>425</v>
      </c>
      <c r="I3513" s="338" t="s">
        <v>411</v>
      </c>
      <c r="J3513" s="339"/>
      <c r="K3513" s="339"/>
      <c r="L3513" s="339" t="s">
        <v>409</v>
      </c>
      <c r="M3513" s="339" t="s">
        <v>409</v>
      </c>
      <c r="N3513" s="338" t="s">
        <v>417</v>
      </c>
      <c r="O3513" s="338" t="s">
        <v>409</v>
      </c>
      <c r="P3513" s="338"/>
    </row>
    <row r="3514" spans="2:16" x14ac:dyDescent="0.25">
      <c r="B3514" s="336" t="s">
        <v>416</v>
      </c>
      <c r="C3514" s="337">
        <v>39149</v>
      </c>
      <c r="D3514" s="338" t="s">
        <v>3137</v>
      </c>
      <c r="E3514" s="336" t="s">
        <v>441</v>
      </c>
      <c r="F3514" s="338" t="s">
        <v>3136</v>
      </c>
      <c r="G3514" s="338" t="s">
        <v>413</v>
      </c>
      <c r="H3514" s="338" t="s">
        <v>425</v>
      </c>
      <c r="I3514" s="338" t="s">
        <v>411</v>
      </c>
      <c r="J3514" s="339"/>
      <c r="K3514" s="339"/>
      <c r="L3514" s="339"/>
      <c r="M3514" s="339"/>
      <c r="N3514" s="338"/>
      <c r="O3514" s="338" t="s">
        <v>417</v>
      </c>
      <c r="P3514" s="338" t="s">
        <v>417</v>
      </c>
    </row>
    <row r="3515" spans="2:16" x14ac:dyDescent="0.25">
      <c r="B3515" s="336" t="s">
        <v>416</v>
      </c>
      <c r="C3515" s="337">
        <v>39148</v>
      </c>
      <c r="D3515" s="338" t="s">
        <v>3135</v>
      </c>
      <c r="E3515" s="336" t="s">
        <v>689</v>
      </c>
      <c r="F3515" s="338"/>
      <c r="G3515" s="338" t="s">
        <v>413</v>
      </c>
      <c r="H3515" s="338" t="s">
        <v>412</v>
      </c>
      <c r="I3515" s="338" t="s">
        <v>411</v>
      </c>
      <c r="J3515" s="339"/>
      <c r="K3515" s="339"/>
      <c r="L3515" s="339" t="s">
        <v>409</v>
      </c>
      <c r="M3515" s="339" t="s">
        <v>409</v>
      </c>
      <c r="N3515" s="338" t="s">
        <v>417</v>
      </c>
      <c r="O3515" s="338" t="s">
        <v>409</v>
      </c>
      <c r="P3515" s="338" t="s">
        <v>417</v>
      </c>
    </row>
    <row r="3516" spans="2:16" x14ac:dyDescent="0.25">
      <c r="B3516" s="336" t="s">
        <v>1441</v>
      </c>
      <c r="C3516" s="337">
        <v>39147</v>
      </c>
      <c r="D3516" s="338" t="s">
        <v>2610</v>
      </c>
      <c r="E3516" s="336" t="s">
        <v>978</v>
      </c>
      <c r="F3516" s="338"/>
      <c r="G3516" s="338" t="s">
        <v>413</v>
      </c>
      <c r="H3516" s="338" t="s">
        <v>412</v>
      </c>
      <c r="I3516" s="338" t="s">
        <v>411</v>
      </c>
      <c r="J3516" s="339"/>
      <c r="K3516" s="339"/>
      <c r="L3516" s="339" t="s">
        <v>409</v>
      </c>
      <c r="M3516" s="339" t="s">
        <v>409</v>
      </c>
      <c r="N3516" s="338" t="s">
        <v>417</v>
      </c>
      <c r="O3516" s="338" t="s">
        <v>409</v>
      </c>
      <c r="P3516" s="338" t="s">
        <v>417</v>
      </c>
    </row>
    <row r="3517" spans="2:16" x14ac:dyDescent="0.25">
      <c r="B3517" s="336" t="s">
        <v>416</v>
      </c>
      <c r="C3517" s="337">
        <v>39147</v>
      </c>
      <c r="D3517" s="338" t="s">
        <v>3134</v>
      </c>
      <c r="E3517" s="336" t="s">
        <v>3133</v>
      </c>
      <c r="F3517" s="338" t="s">
        <v>3132</v>
      </c>
      <c r="G3517" s="338" t="s">
        <v>413</v>
      </c>
      <c r="H3517" s="338" t="s">
        <v>412</v>
      </c>
      <c r="I3517" s="338" t="s">
        <v>411</v>
      </c>
      <c r="J3517" s="339"/>
      <c r="K3517" s="339"/>
      <c r="L3517" s="339"/>
      <c r="M3517" s="339"/>
      <c r="N3517" s="338" t="s">
        <v>410</v>
      </c>
      <c r="O3517" s="338" t="s">
        <v>410</v>
      </c>
      <c r="P3517" s="338" t="s">
        <v>417</v>
      </c>
    </row>
    <row r="3518" spans="2:16" x14ac:dyDescent="0.25">
      <c r="B3518" s="336" t="s">
        <v>416</v>
      </c>
      <c r="C3518" s="337">
        <v>39147</v>
      </c>
      <c r="D3518" s="338" t="s">
        <v>3131</v>
      </c>
      <c r="E3518" s="336" t="s">
        <v>2288</v>
      </c>
      <c r="F3518" s="338"/>
      <c r="G3518" s="338">
        <v>91</v>
      </c>
      <c r="H3518" s="338" t="s">
        <v>425</v>
      </c>
      <c r="I3518" s="338" t="s">
        <v>411</v>
      </c>
      <c r="J3518" s="339"/>
      <c r="K3518" s="339"/>
      <c r="L3518" s="339" t="s">
        <v>409</v>
      </c>
      <c r="M3518" s="339" t="s">
        <v>409</v>
      </c>
      <c r="N3518" s="338" t="s">
        <v>417</v>
      </c>
      <c r="O3518" s="338" t="s">
        <v>409</v>
      </c>
      <c r="P3518" s="338" t="s">
        <v>417</v>
      </c>
    </row>
    <row r="3519" spans="2:16" x14ac:dyDescent="0.25">
      <c r="B3519" s="336" t="s">
        <v>416</v>
      </c>
      <c r="C3519" s="337">
        <v>39147</v>
      </c>
      <c r="D3519" s="338" t="s">
        <v>3130</v>
      </c>
      <c r="E3519" s="336" t="s">
        <v>983</v>
      </c>
      <c r="F3519" s="338" t="s">
        <v>3129</v>
      </c>
      <c r="G3519" s="338" t="s">
        <v>413</v>
      </c>
      <c r="H3519" s="338" t="s">
        <v>425</v>
      </c>
      <c r="I3519" s="338" t="s">
        <v>411</v>
      </c>
      <c r="J3519" s="339"/>
      <c r="K3519" s="339"/>
      <c r="L3519" s="339"/>
      <c r="M3519" s="339"/>
      <c r="N3519" s="338"/>
      <c r="O3519" s="338" t="s">
        <v>417</v>
      </c>
      <c r="P3519" s="338" t="s">
        <v>417</v>
      </c>
    </row>
    <row r="3520" spans="2:16" x14ac:dyDescent="0.25">
      <c r="B3520" s="336" t="s">
        <v>416</v>
      </c>
      <c r="C3520" s="337">
        <v>39146</v>
      </c>
      <c r="D3520" s="338" t="s">
        <v>3128</v>
      </c>
      <c r="E3520" s="336" t="s">
        <v>1612</v>
      </c>
      <c r="F3520" s="338" t="s">
        <v>3127</v>
      </c>
      <c r="G3520" s="338">
        <v>150</v>
      </c>
      <c r="H3520" s="338" t="s">
        <v>425</v>
      </c>
      <c r="I3520" s="338" t="s">
        <v>411</v>
      </c>
      <c r="J3520" s="339"/>
      <c r="K3520" s="339"/>
      <c r="L3520" s="339"/>
      <c r="M3520" s="339"/>
      <c r="N3520" s="338"/>
      <c r="O3520" s="338" t="s">
        <v>417</v>
      </c>
      <c r="P3520" s="338" t="s">
        <v>443</v>
      </c>
    </row>
    <row r="3521" spans="2:16" x14ac:dyDescent="0.25">
      <c r="B3521" s="336" t="s">
        <v>416</v>
      </c>
      <c r="C3521" s="337">
        <v>39146</v>
      </c>
      <c r="D3521" s="338" t="s">
        <v>3126</v>
      </c>
      <c r="E3521" s="336" t="s">
        <v>3125</v>
      </c>
      <c r="F3521" s="338"/>
      <c r="G3521" s="338" t="s">
        <v>413</v>
      </c>
      <c r="H3521" s="338" t="s">
        <v>412</v>
      </c>
      <c r="I3521" s="338" t="s">
        <v>411</v>
      </c>
      <c r="J3521" s="339"/>
      <c r="K3521" s="339"/>
      <c r="L3521" s="339" t="s">
        <v>409</v>
      </c>
      <c r="M3521" s="339" t="s">
        <v>409</v>
      </c>
      <c r="N3521" s="338" t="s">
        <v>410</v>
      </c>
      <c r="O3521" s="338" t="s">
        <v>409</v>
      </c>
      <c r="P3521" s="338" t="s">
        <v>410</v>
      </c>
    </row>
    <row r="3522" spans="2:16" x14ac:dyDescent="0.25">
      <c r="B3522" s="336" t="s">
        <v>416</v>
      </c>
      <c r="C3522" s="337">
        <v>39146</v>
      </c>
      <c r="D3522" s="338" t="s">
        <v>3124</v>
      </c>
      <c r="E3522" s="336" t="s">
        <v>2110</v>
      </c>
      <c r="F3522" s="338"/>
      <c r="G3522" s="338">
        <v>70</v>
      </c>
      <c r="H3522" s="338" t="s">
        <v>425</v>
      </c>
      <c r="I3522" s="338" t="s">
        <v>411</v>
      </c>
      <c r="J3522" s="339"/>
      <c r="K3522" s="339"/>
      <c r="L3522" s="339" t="s">
        <v>409</v>
      </c>
      <c r="M3522" s="339" t="s">
        <v>409</v>
      </c>
      <c r="N3522" s="338" t="s">
        <v>417</v>
      </c>
      <c r="O3522" s="338" t="s">
        <v>409</v>
      </c>
      <c r="P3522" s="338" t="s">
        <v>408</v>
      </c>
    </row>
    <row r="3523" spans="2:16" x14ac:dyDescent="0.25">
      <c r="B3523" s="336" t="s">
        <v>416</v>
      </c>
      <c r="C3523" s="337">
        <v>39143</v>
      </c>
      <c r="D3523" s="338" t="s">
        <v>3123</v>
      </c>
      <c r="E3523" s="336" t="s">
        <v>3122</v>
      </c>
      <c r="F3523" s="338"/>
      <c r="G3523" s="338" t="s">
        <v>413</v>
      </c>
      <c r="H3523" s="338" t="s">
        <v>412</v>
      </c>
      <c r="I3523" s="338" t="s">
        <v>411</v>
      </c>
      <c r="J3523" s="339"/>
      <c r="K3523" s="339"/>
      <c r="L3523" s="339" t="s">
        <v>409</v>
      </c>
      <c r="M3523" s="339" t="s">
        <v>409</v>
      </c>
      <c r="N3523" s="338" t="s">
        <v>410</v>
      </c>
      <c r="O3523" s="338" t="s">
        <v>409</v>
      </c>
      <c r="P3523" s="338" t="s">
        <v>417</v>
      </c>
    </row>
    <row r="3524" spans="2:16" x14ac:dyDescent="0.25">
      <c r="B3524" s="336" t="s">
        <v>459</v>
      </c>
      <c r="C3524" s="337">
        <v>39143</v>
      </c>
      <c r="D3524" s="338" t="s">
        <v>1568</v>
      </c>
      <c r="E3524" s="336" t="s">
        <v>3121</v>
      </c>
      <c r="F3524" s="338"/>
      <c r="G3524" s="338">
        <v>21</v>
      </c>
      <c r="H3524" s="338" t="s">
        <v>425</v>
      </c>
      <c r="I3524" s="338" t="s">
        <v>411</v>
      </c>
      <c r="J3524" s="339"/>
      <c r="K3524" s="339"/>
      <c r="L3524" s="339" t="s">
        <v>409</v>
      </c>
      <c r="M3524" s="339" t="s">
        <v>409</v>
      </c>
      <c r="N3524" s="338" t="s">
        <v>432</v>
      </c>
      <c r="O3524" s="338" t="s">
        <v>409</v>
      </c>
      <c r="P3524" s="338"/>
    </row>
    <row r="3525" spans="2:16" x14ac:dyDescent="0.25">
      <c r="B3525" s="336" t="s">
        <v>416</v>
      </c>
      <c r="C3525" s="337">
        <v>39143</v>
      </c>
      <c r="D3525" s="338" t="s">
        <v>3120</v>
      </c>
      <c r="E3525" s="336" t="s">
        <v>3119</v>
      </c>
      <c r="F3525" s="338" t="s">
        <v>3118</v>
      </c>
      <c r="G3525" s="338" t="s">
        <v>413</v>
      </c>
      <c r="H3525" s="338" t="s">
        <v>425</v>
      </c>
      <c r="I3525" s="338" t="s">
        <v>411</v>
      </c>
      <c r="J3525" s="339"/>
      <c r="K3525" s="339"/>
      <c r="L3525" s="339"/>
      <c r="M3525" s="339"/>
      <c r="N3525" s="338"/>
      <c r="O3525" s="338" t="s">
        <v>417</v>
      </c>
      <c r="P3525" s="338"/>
    </row>
    <row r="3526" spans="2:16" x14ac:dyDescent="0.25">
      <c r="B3526" s="336" t="s">
        <v>416</v>
      </c>
      <c r="C3526" s="337">
        <v>39142</v>
      </c>
      <c r="D3526" s="338" t="s">
        <v>3117</v>
      </c>
      <c r="E3526" s="336" t="s">
        <v>477</v>
      </c>
      <c r="F3526" s="338"/>
      <c r="G3526" s="338">
        <v>2</v>
      </c>
      <c r="H3526" s="338" t="s">
        <v>425</v>
      </c>
      <c r="I3526" s="338" t="s">
        <v>411</v>
      </c>
      <c r="J3526" s="339"/>
      <c r="K3526" s="339"/>
      <c r="L3526" s="339" t="s">
        <v>409</v>
      </c>
      <c r="M3526" s="339" t="s">
        <v>409</v>
      </c>
      <c r="N3526" s="338" t="s">
        <v>443</v>
      </c>
      <c r="O3526" s="338" t="s">
        <v>409</v>
      </c>
      <c r="P3526" s="338" t="s">
        <v>417</v>
      </c>
    </row>
    <row r="3527" spans="2:16" x14ac:dyDescent="0.25">
      <c r="B3527" s="336" t="s">
        <v>416</v>
      </c>
      <c r="C3527" s="337">
        <v>39142</v>
      </c>
      <c r="D3527" s="338" t="s">
        <v>3116</v>
      </c>
      <c r="E3527" s="336" t="s">
        <v>1006</v>
      </c>
      <c r="F3527" s="338"/>
      <c r="G3527" s="338">
        <v>6.56</v>
      </c>
      <c r="H3527" s="338" t="s">
        <v>780</v>
      </c>
      <c r="I3527" s="338" t="s">
        <v>411</v>
      </c>
      <c r="J3527" s="339"/>
      <c r="K3527" s="339"/>
      <c r="L3527" s="339" t="s">
        <v>409</v>
      </c>
      <c r="M3527" s="339" t="s">
        <v>409</v>
      </c>
      <c r="N3527" s="338" t="s">
        <v>408</v>
      </c>
      <c r="O3527" s="338" t="s">
        <v>409</v>
      </c>
      <c r="P3527" s="338" t="s">
        <v>417</v>
      </c>
    </row>
    <row r="3528" spans="2:16" x14ac:dyDescent="0.25">
      <c r="B3528" s="336" t="s">
        <v>416</v>
      </c>
      <c r="C3528" s="337">
        <v>39142</v>
      </c>
      <c r="D3528" s="338" t="s">
        <v>3115</v>
      </c>
      <c r="E3528" s="336" t="s">
        <v>3114</v>
      </c>
      <c r="F3528" s="338"/>
      <c r="G3528" s="338" t="s">
        <v>413</v>
      </c>
      <c r="H3528" s="338" t="s">
        <v>412</v>
      </c>
      <c r="I3528" s="338" t="s">
        <v>411</v>
      </c>
      <c r="J3528" s="339"/>
      <c r="K3528" s="339"/>
      <c r="L3528" s="339" t="s">
        <v>409</v>
      </c>
      <c r="M3528" s="339" t="s">
        <v>409</v>
      </c>
      <c r="N3528" s="338"/>
      <c r="O3528" s="338" t="s">
        <v>409</v>
      </c>
      <c r="P3528" s="338" t="s">
        <v>443</v>
      </c>
    </row>
    <row r="3529" spans="2:16" x14ac:dyDescent="0.25">
      <c r="B3529" s="336" t="s">
        <v>459</v>
      </c>
      <c r="C3529" s="337">
        <v>39141</v>
      </c>
      <c r="D3529" s="338" t="s">
        <v>3113</v>
      </c>
      <c r="E3529" s="336" t="s">
        <v>2153</v>
      </c>
      <c r="F3529" s="338" t="s">
        <v>3083</v>
      </c>
      <c r="G3529" s="338">
        <v>64</v>
      </c>
      <c r="H3529" s="338" t="s">
        <v>336</v>
      </c>
      <c r="I3529" s="338" t="s">
        <v>411</v>
      </c>
      <c r="J3529" s="339"/>
      <c r="K3529" s="339"/>
      <c r="L3529" s="339">
        <v>0.978217</v>
      </c>
      <c r="M3529" s="339">
        <v>8.51877</v>
      </c>
      <c r="N3529" s="338" t="s">
        <v>543</v>
      </c>
      <c r="O3529" s="338" t="s">
        <v>417</v>
      </c>
      <c r="P3529" s="338" t="s">
        <v>410</v>
      </c>
    </row>
    <row r="3530" spans="2:16" x14ac:dyDescent="0.25">
      <c r="B3530" s="336" t="s">
        <v>416</v>
      </c>
      <c r="C3530" s="337">
        <v>39140</v>
      </c>
      <c r="D3530" s="338" t="s">
        <v>3112</v>
      </c>
      <c r="E3530" s="336" t="s">
        <v>831</v>
      </c>
      <c r="F3530" s="338" t="s">
        <v>3111</v>
      </c>
      <c r="G3530" s="338" t="s">
        <v>413</v>
      </c>
      <c r="H3530" s="338" t="s">
        <v>425</v>
      </c>
      <c r="I3530" s="338" t="s">
        <v>411</v>
      </c>
      <c r="J3530" s="339"/>
      <c r="K3530" s="339"/>
      <c r="L3530" s="339"/>
      <c r="M3530" s="339"/>
      <c r="N3530" s="338"/>
      <c r="O3530" s="338" t="s">
        <v>417</v>
      </c>
      <c r="P3530" s="338" t="s">
        <v>417</v>
      </c>
    </row>
    <row r="3531" spans="2:16" x14ac:dyDescent="0.25">
      <c r="B3531" s="336" t="s">
        <v>416</v>
      </c>
      <c r="C3531" s="337">
        <v>39140</v>
      </c>
      <c r="D3531" s="338" t="s">
        <v>3110</v>
      </c>
      <c r="E3531" s="336" t="s">
        <v>666</v>
      </c>
      <c r="F3531" s="338" t="s">
        <v>3109</v>
      </c>
      <c r="G3531" s="338">
        <v>24</v>
      </c>
      <c r="H3531" s="338" t="s">
        <v>425</v>
      </c>
      <c r="I3531" s="338" t="s">
        <v>411</v>
      </c>
      <c r="J3531" s="339"/>
      <c r="K3531" s="339"/>
      <c r="L3531" s="339">
        <v>1.4863299999999999</v>
      </c>
      <c r="M3531" s="339">
        <v>13.742100000000001</v>
      </c>
      <c r="N3531" s="338" t="s">
        <v>417</v>
      </c>
      <c r="O3531" s="338" t="s">
        <v>417</v>
      </c>
      <c r="P3531" s="338" t="s">
        <v>443</v>
      </c>
    </row>
    <row r="3532" spans="2:16" x14ac:dyDescent="0.25">
      <c r="B3532" s="336" t="s">
        <v>416</v>
      </c>
      <c r="C3532" s="337">
        <v>39140</v>
      </c>
      <c r="D3532" s="338" t="s">
        <v>3108</v>
      </c>
      <c r="E3532" s="336" t="s">
        <v>3107</v>
      </c>
      <c r="F3532" s="338" t="s">
        <v>2349</v>
      </c>
      <c r="G3532" s="338">
        <v>30</v>
      </c>
      <c r="H3532" s="338" t="s">
        <v>425</v>
      </c>
      <c r="I3532" s="338" t="s">
        <v>411</v>
      </c>
      <c r="J3532" s="339"/>
      <c r="K3532" s="339"/>
      <c r="L3532" s="339">
        <v>0.17391699999999999</v>
      </c>
      <c r="M3532" s="339">
        <v>5.0973499999999996</v>
      </c>
      <c r="N3532" s="338"/>
      <c r="O3532" s="338" t="s">
        <v>605</v>
      </c>
      <c r="P3532" s="338" t="s">
        <v>605</v>
      </c>
    </row>
    <row r="3533" spans="2:16" x14ac:dyDescent="0.25">
      <c r="B3533" s="336" t="s">
        <v>416</v>
      </c>
      <c r="C3533" s="337">
        <v>39139</v>
      </c>
      <c r="D3533" s="338" t="s">
        <v>1498</v>
      </c>
      <c r="E3533" s="336" t="s">
        <v>3106</v>
      </c>
      <c r="F3533" s="338"/>
      <c r="G3533" s="338">
        <v>8.85</v>
      </c>
      <c r="H3533" s="338" t="s">
        <v>425</v>
      </c>
      <c r="I3533" s="338" t="s">
        <v>411</v>
      </c>
      <c r="J3533" s="339">
        <v>0.59405200000000002</v>
      </c>
      <c r="K3533" s="339"/>
      <c r="L3533" s="339" t="s">
        <v>409</v>
      </c>
      <c r="M3533" s="339" t="s">
        <v>409</v>
      </c>
      <c r="N3533" s="338" t="s">
        <v>417</v>
      </c>
      <c r="O3533" s="338" t="s">
        <v>409</v>
      </c>
      <c r="P3533" s="338" t="s">
        <v>443</v>
      </c>
    </row>
    <row r="3534" spans="2:16" x14ac:dyDescent="0.25">
      <c r="B3534" s="336" t="s">
        <v>416</v>
      </c>
      <c r="C3534" s="337">
        <v>39139</v>
      </c>
      <c r="D3534" s="338" t="s">
        <v>956</v>
      </c>
      <c r="E3534" s="336" t="s">
        <v>514</v>
      </c>
      <c r="F3534" s="338" t="s">
        <v>3105</v>
      </c>
      <c r="G3534" s="338" t="s">
        <v>413</v>
      </c>
      <c r="H3534" s="338" t="s">
        <v>425</v>
      </c>
      <c r="I3534" s="338" t="s">
        <v>411</v>
      </c>
      <c r="J3534" s="339"/>
      <c r="K3534" s="339"/>
      <c r="L3534" s="339">
        <v>0.76396200000000003</v>
      </c>
      <c r="M3534" s="339">
        <v>12.508800000000001</v>
      </c>
      <c r="N3534" s="338"/>
      <c r="O3534" s="338" t="s">
        <v>417</v>
      </c>
      <c r="P3534" s="338"/>
    </row>
    <row r="3535" spans="2:16" x14ac:dyDescent="0.25">
      <c r="B3535" s="336" t="s">
        <v>416</v>
      </c>
      <c r="C3535" s="337">
        <v>39139</v>
      </c>
      <c r="D3535" s="338" t="s">
        <v>3105</v>
      </c>
      <c r="E3535" s="336" t="s">
        <v>3104</v>
      </c>
      <c r="F3535" s="338"/>
      <c r="G3535" s="338">
        <v>105.34</v>
      </c>
      <c r="H3535" s="338" t="s">
        <v>425</v>
      </c>
      <c r="I3535" s="338" t="s">
        <v>411</v>
      </c>
      <c r="J3535" s="339">
        <v>0.76396200000000003</v>
      </c>
      <c r="K3535" s="339">
        <v>12.508800000000001</v>
      </c>
      <c r="L3535" s="339" t="s">
        <v>409</v>
      </c>
      <c r="M3535" s="339" t="s">
        <v>409</v>
      </c>
      <c r="N3535" s="338" t="s">
        <v>417</v>
      </c>
      <c r="O3535" s="338" t="s">
        <v>409</v>
      </c>
      <c r="P3535" s="338" t="s">
        <v>417</v>
      </c>
    </row>
    <row r="3536" spans="2:16" x14ac:dyDescent="0.25">
      <c r="B3536" s="336" t="s">
        <v>416</v>
      </c>
      <c r="C3536" s="337">
        <v>39135</v>
      </c>
      <c r="D3536" s="338" t="s">
        <v>3103</v>
      </c>
      <c r="E3536" s="336" t="s">
        <v>3102</v>
      </c>
      <c r="F3536" s="338" t="s">
        <v>3101</v>
      </c>
      <c r="G3536" s="338" t="s">
        <v>413</v>
      </c>
      <c r="H3536" s="338" t="s">
        <v>412</v>
      </c>
      <c r="I3536" s="338" t="s">
        <v>411</v>
      </c>
      <c r="J3536" s="339"/>
      <c r="K3536" s="339"/>
      <c r="L3536" s="339"/>
      <c r="M3536" s="339"/>
      <c r="N3536" s="338" t="s">
        <v>417</v>
      </c>
      <c r="O3536" s="338" t="s">
        <v>417</v>
      </c>
      <c r="P3536" s="338" t="s">
        <v>417</v>
      </c>
    </row>
    <row r="3537" spans="2:16" x14ac:dyDescent="0.25">
      <c r="B3537" s="336" t="s">
        <v>416</v>
      </c>
      <c r="C3537" s="337">
        <v>39135</v>
      </c>
      <c r="D3537" s="338" t="s">
        <v>3100</v>
      </c>
      <c r="E3537" s="336" t="s">
        <v>3099</v>
      </c>
      <c r="F3537" s="338" t="s">
        <v>3098</v>
      </c>
      <c r="G3537" s="338">
        <v>52</v>
      </c>
      <c r="H3537" s="338" t="s">
        <v>425</v>
      </c>
      <c r="I3537" s="338" t="s">
        <v>411</v>
      </c>
      <c r="J3537" s="339"/>
      <c r="K3537" s="339"/>
      <c r="L3537" s="339">
        <v>1.9948999999999999</v>
      </c>
      <c r="M3537" s="339">
        <v>10.432399999999999</v>
      </c>
      <c r="N3537" s="338"/>
      <c r="O3537" s="338" t="s">
        <v>417</v>
      </c>
      <c r="P3537" s="338" t="s">
        <v>408</v>
      </c>
    </row>
    <row r="3538" spans="2:16" x14ac:dyDescent="0.25">
      <c r="B3538" s="336" t="s">
        <v>416</v>
      </c>
      <c r="C3538" s="337">
        <v>39135</v>
      </c>
      <c r="D3538" s="338" t="s">
        <v>3097</v>
      </c>
      <c r="E3538" s="336" t="s">
        <v>928</v>
      </c>
      <c r="F3538" s="338"/>
      <c r="G3538" s="338" t="s">
        <v>413</v>
      </c>
      <c r="H3538" s="338" t="s">
        <v>425</v>
      </c>
      <c r="I3538" s="338" t="s">
        <v>411</v>
      </c>
      <c r="J3538" s="339"/>
      <c r="K3538" s="339"/>
      <c r="L3538" s="339" t="s">
        <v>409</v>
      </c>
      <c r="M3538" s="339" t="s">
        <v>409</v>
      </c>
      <c r="N3538" s="338" t="s">
        <v>417</v>
      </c>
      <c r="O3538" s="338" t="s">
        <v>409</v>
      </c>
      <c r="P3538" s="338" t="s">
        <v>417</v>
      </c>
    </row>
    <row r="3539" spans="2:16" x14ac:dyDescent="0.25">
      <c r="B3539" s="336" t="s">
        <v>416</v>
      </c>
      <c r="C3539" s="337">
        <v>39134</v>
      </c>
      <c r="D3539" s="338" t="s">
        <v>3096</v>
      </c>
      <c r="E3539" s="336" t="s">
        <v>3095</v>
      </c>
      <c r="F3539" s="338"/>
      <c r="G3539" s="338" t="s">
        <v>413</v>
      </c>
      <c r="H3539" s="338" t="s">
        <v>425</v>
      </c>
      <c r="I3539" s="338" t="s">
        <v>411</v>
      </c>
      <c r="J3539" s="339"/>
      <c r="K3539" s="339"/>
      <c r="L3539" s="339" t="s">
        <v>409</v>
      </c>
      <c r="M3539" s="339" t="s">
        <v>409</v>
      </c>
      <c r="N3539" s="338"/>
      <c r="O3539" s="338" t="s">
        <v>409</v>
      </c>
      <c r="P3539" s="338" t="s">
        <v>2471</v>
      </c>
    </row>
    <row r="3540" spans="2:16" x14ac:dyDescent="0.25">
      <c r="B3540" s="336" t="s">
        <v>416</v>
      </c>
      <c r="C3540" s="337">
        <v>39133</v>
      </c>
      <c r="D3540" s="338" t="s">
        <v>3094</v>
      </c>
      <c r="E3540" s="336" t="s">
        <v>3093</v>
      </c>
      <c r="F3540" s="338"/>
      <c r="G3540" s="338">
        <v>1.03</v>
      </c>
      <c r="H3540" s="338" t="s">
        <v>425</v>
      </c>
      <c r="I3540" s="338" t="s">
        <v>411</v>
      </c>
      <c r="J3540" s="339"/>
      <c r="K3540" s="339"/>
      <c r="L3540" s="339" t="s">
        <v>409</v>
      </c>
      <c r="M3540" s="339" t="s">
        <v>409</v>
      </c>
      <c r="N3540" s="338" t="s">
        <v>417</v>
      </c>
      <c r="O3540" s="338" t="s">
        <v>409</v>
      </c>
      <c r="P3540" s="338" t="s">
        <v>417</v>
      </c>
    </row>
    <row r="3541" spans="2:16" x14ac:dyDescent="0.25">
      <c r="B3541" s="336" t="s">
        <v>416</v>
      </c>
      <c r="C3541" s="337">
        <v>39133</v>
      </c>
      <c r="D3541" s="338" t="s">
        <v>3092</v>
      </c>
      <c r="E3541" s="336" t="s">
        <v>1708</v>
      </c>
      <c r="F3541" s="338"/>
      <c r="G3541" s="338">
        <v>815.69</v>
      </c>
      <c r="H3541" s="338" t="s">
        <v>425</v>
      </c>
      <c r="I3541" s="338" t="s">
        <v>411</v>
      </c>
      <c r="J3541" s="339">
        <v>0.36386499999999999</v>
      </c>
      <c r="K3541" s="339">
        <v>10.745799999999999</v>
      </c>
      <c r="L3541" s="339" t="s">
        <v>409</v>
      </c>
      <c r="M3541" s="339" t="s">
        <v>409</v>
      </c>
      <c r="N3541" s="338" t="s">
        <v>417</v>
      </c>
      <c r="O3541" s="338" t="s">
        <v>409</v>
      </c>
      <c r="P3541" s="338" t="s">
        <v>443</v>
      </c>
    </row>
    <row r="3542" spans="2:16" x14ac:dyDescent="0.25">
      <c r="B3542" s="336" t="s">
        <v>416</v>
      </c>
      <c r="C3542" s="337">
        <v>39133</v>
      </c>
      <c r="D3542" s="338" t="s">
        <v>3091</v>
      </c>
      <c r="E3542" s="336" t="s">
        <v>3090</v>
      </c>
      <c r="F3542" s="338" t="s">
        <v>2890</v>
      </c>
      <c r="G3542" s="338">
        <v>88.5</v>
      </c>
      <c r="H3542" s="338" t="s">
        <v>425</v>
      </c>
      <c r="I3542" s="338" t="s">
        <v>411</v>
      </c>
      <c r="J3542" s="339"/>
      <c r="K3542" s="339"/>
      <c r="L3542" s="339">
        <v>2.09585</v>
      </c>
      <c r="M3542" s="339"/>
      <c r="N3542" s="338"/>
      <c r="O3542" s="338" t="s">
        <v>417</v>
      </c>
      <c r="P3542" s="338" t="s">
        <v>443</v>
      </c>
    </row>
    <row r="3543" spans="2:16" x14ac:dyDescent="0.25">
      <c r="B3543" s="336" t="s">
        <v>416</v>
      </c>
      <c r="C3543" s="337">
        <v>39129</v>
      </c>
      <c r="D3543" s="338" t="s">
        <v>3089</v>
      </c>
      <c r="E3543" s="336" t="s">
        <v>3088</v>
      </c>
      <c r="F3543" s="338" t="s">
        <v>2890</v>
      </c>
      <c r="G3543" s="338">
        <v>75.5</v>
      </c>
      <c r="H3543" s="338" t="s">
        <v>425</v>
      </c>
      <c r="I3543" s="338" t="s">
        <v>411</v>
      </c>
      <c r="J3543" s="339"/>
      <c r="K3543" s="339"/>
      <c r="L3543" s="339">
        <v>2.09585</v>
      </c>
      <c r="M3543" s="339"/>
      <c r="N3543" s="338"/>
      <c r="O3543" s="338" t="s">
        <v>417</v>
      </c>
      <c r="P3543" s="338" t="s">
        <v>417</v>
      </c>
    </row>
    <row r="3544" spans="2:16" x14ac:dyDescent="0.25">
      <c r="B3544" s="336" t="s">
        <v>416</v>
      </c>
      <c r="C3544" s="337">
        <v>39129</v>
      </c>
      <c r="D3544" s="338" t="s">
        <v>3087</v>
      </c>
      <c r="E3544" s="336" t="s">
        <v>2267</v>
      </c>
      <c r="F3544" s="338"/>
      <c r="G3544" s="338" t="s">
        <v>413</v>
      </c>
      <c r="H3544" s="338" t="s">
        <v>412</v>
      </c>
      <c r="I3544" s="338" t="s">
        <v>411</v>
      </c>
      <c r="J3544" s="339"/>
      <c r="K3544" s="339"/>
      <c r="L3544" s="339" t="s">
        <v>409</v>
      </c>
      <c r="M3544" s="339" t="s">
        <v>409</v>
      </c>
      <c r="N3544" s="338" t="s">
        <v>417</v>
      </c>
      <c r="O3544" s="338" t="s">
        <v>409</v>
      </c>
      <c r="P3544" s="338" t="s">
        <v>417</v>
      </c>
    </row>
    <row r="3545" spans="2:16" x14ac:dyDescent="0.25">
      <c r="B3545" s="336" t="s">
        <v>416</v>
      </c>
      <c r="C3545" s="337">
        <v>39128</v>
      </c>
      <c r="D3545" s="338" t="s">
        <v>3086</v>
      </c>
      <c r="E3545" s="336" t="s">
        <v>1619</v>
      </c>
      <c r="F3545" s="338" t="s">
        <v>3085</v>
      </c>
      <c r="G3545" s="338">
        <v>60</v>
      </c>
      <c r="H3545" s="338" t="s">
        <v>425</v>
      </c>
      <c r="I3545" s="338" t="s">
        <v>411</v>
      </c>
      <c r="J3545" s="339"/>
      <c r="K3545" s="339"/>
      <c r="L3545" s="339">
        <v>1.1597100000000001E-2</v>
      </c>
      <c r="M3545" s="339"/>
      <c r="N3545" s="338"/>
      <c r="O3545" s="338" t="s">
        <v>410</v>
      </c>
      <c r="P3545" s="338" t="s">
        <v>417</v>
      </c>
    </row>
    <row r="3546" spans="2:16" x14ac:dyDescent="0.25">
      <c r="B3546" s="336" t="s">
        <v>416</v>
      </c>
      <c r="C3546" s="337">
        <v>39128</v>
      </c>
      <c r="D3546" s="338" t="s">
        <v>3084</v>
      </c>
      <c r="E3546" s="336" t="s">
        <v>3083</v>
      </c>
      <c r="F3546" s="338"/>
      <c r="G3546" s="338" t="s">
        <v>413</v>
      </c>
      <c r="H3546" s="338" t="s">
        <v>425</v>
      </c>
      <c r="I3546" s="338" t="s">
        <v>411</v>
      </c>
      <c r="J3546" s="339"/>
      <c r="K3546" s="339"/>
      <c r="L3546" s="339" t="s">
        <v>409</v>
      </c>
      <c r="M3546" s="339" t="s">
        <v>409</v>
      </c>
      <c r="N3546" s="338"/>
      <c r="O3546" s="338" t="s">
        <v>409</v>
      </c>
      <c r="P3546" s="338" t="s">
        <v>417</v>
      </c>
    </row>
    <row r="3547" spans="2:16" x14ac:dyDescent="0.25">
      <c r="B3547" s="336" t="s">
        <v>416</v>
      </c>
      <c r="C3547" s="337">
        <v>39127</v>
      </c>
      <c r="D3547" s="338" t="s">
        <v>3082</v>
      </c>
      <c r="E3547" s="336" t="s">
        <v>3081</v>
      </c>
      <c r="F3547" s="338" t="s">
        <v>3080</v>
      </c>
      <c r="G3547" s="338">
        <v>5.91</v>
      </c>
      <c r="H3547" s="338" t="s">
        <v>425</v>
      </c>
      <c r="I3547" s="338" t="s">
        <v>411</v>
      </c>
      <c r="J3547" s="339"/>
      <c r="K3547" s="339"/>
      <c r="L3547" s="339">
        <v>1.12967</v>
      </c>
      <c r="M3547" s="339"/>
      <c r="N3547" s="338"/>
      <c r="O3547" s="338" t="s">
        <v>432</v>
      </c>
      <c r="P3547" s="338" t="s">
        <v>432</v>
      </c>
    </row>
    <row r="3548" spans="2:16" x14ac:dyDescent="0.25">
      <c r="B3548" s="336" t="s">
        <v>416</v>
      </c>
      <c r="C3548" s="337">
        <v>39127</v>
      </c>
      <c r="D3548" s="338" t="s">
        <v>1188</v>
      </c>
      <c r="E3548" s="336" t="s">
        <v>3079</v>
      </c>
      <c r="F3548" s="338"/>
      <c r="G3548" s="338">
        <v>147.75</v>
      </c>
      <c r="H3548" s="338" t="s">
        <v>425</v>
      </c>
      <c r="I3548" s="338" t="s">
        <v>411</v>
      </c>
      <c r="J3548" s="339">
        <v>0.244278</v>
      </c>
      <c r="K3548" s="339">
        <v>5.1166200000000002</v>
      </c>
      <c r="L3548" s="339" t="s">
        <v>409</v>
      </c>
      <c r="M3548" s="339" t="s">
        <v>409</v>
      </c>
      <c r="N3548" s="338" t="s">
        <v>417</v>
      </c>
      <c r="O3548" s="338" t="s">
        <v>409</v>
      </c>
      <c r="P3548" s="338" t="s">
        <v>443</v>
      </c>
    </row>
    <row r="3549" spans="2:16" x14ac:dyDescent="0.25">
      <c r="B3549" s="336" t="s">
        <v>416</v>
      </c>
      <c r="C3549" s="337">
        <v>39126</v>
      </c>
      <c r="D3549" s="338" t="s">
        <v>3078</v>
      </c>
      <c r="E3549" s="336" t="s">
        <v>3077</v>
      </c>
      <c r="F3549" s="338" t="s">
        <v>3076</v>
      </c>
      <c r="G3549" s="338">
        <v>74.5</v>
      </c>
      <c r="H3549" s="338" t="s">
        <v>425</v>
      </c>
      <c r="I3549" s="338" t="s">
        <v>411</v>
      </c>
      <c r="J3549" s="339"/>
      <c r="K3549" s="339"/>
      <c r="L3549" s="339">
        <v>0.37287900000000002</v>
      </c>
      <c r="M3549" s="339">
        <v>7.0573100000000002</v>
      </c>
      <c r="N3549" s="338"/>
      <c r="O3549" s="338" t="s">
        <v>408</v>
      </c>
      <c r="P3549" s="338" t="s">
        <v>443</v>
      </c>
    </row>
    <row r="3550" spans="2:16" x14ac:dyDescent="0.25">
      <c r="B3550" s="336" t="s">
        <v>416</v>
      </c>
      <c r="C3550" s="337">
        <v>39126</v>
      </c>
      <c r="D3550" s="338" t="s">
        <v>3075</v>
      </c>
      <c r="E3550" s="336" t="s">
        <v>3074</v>
      </c>
      <c r="F3550" s="338"/>
      <c r="G3550" s="338" t="s">
        <v>413</v>
      </c>
      <c r="H3550" s="338" t="s">
        <v>412</v>
      </c>
      <c r="I3550" s="338" t="s">
        <v>411</v>
      </c>
      <c r="J3550" s="339"/>
      <c r="K3550" s="339"/>
      <c r="L3550" s="339" t="s">
        <v>409</v>
      </c>
      <c r="M3550" s="339" t="s">
        <v>409</v>
      </c>
      <c r="N3550" s="338" t="s">
        <v>417</v>
      </c>
      <c r="O3550" s="338" t="s">
        <v>409</v>
      </c>
      <c r="P3550" s="338" t="s">
        <v>417</v>
      </c>
    </row>
    <row r="3551" spans="2:16" x14ac:dyDescent="0.25">
      <c r="B3551" s="336" t="s">
        <v>416</v>
      </c>
      <c r="C3551" s="337">
        <v>39126</v>
      </c>
      <c r="D3551" s="338" t="s">
        <v>3073</v>
      </c>
      <c r="E3551" s="336" t="s">
        <v>3072</v>
      </c>
      <c r="F3551" s="338" t="s">
        <v>3071</v>
      </c>
      <c r="G3551" s="338" t="s">
        <v>413</v>
      </c>
      <c r="H3551" s="338" t="s">
        <v>425</v>
      </c>
      <c r="I3551" s="338" t="s">
        <v>411</v>
      </c>
      <c r="J3551" s="339"/>
      <c r="K3551" s="339"/>
      <c r="L3551" s="339"/>
      <c r="M3551" s="339"/>
      <c r="N3551" s="338"/>
      <c r="O3551" s="338" t="s">
        <v>432</v>
      </c>
      <c r="P3551" s="338" t="s">
        <v>417</v>
      </c>
    </row>
    <row r="3552" spans="2:16" x14ac:dyDescent="0.25">
      <c r="B3552" s="336" t="s">
        <v>416</v>
      </c>
      <c r="C3552" s="337">
        <v>39125</v>
      </c>
      <c r="D3552" s="338" t="s">
        <v>3070</v>
      </c>
      <c r="E3552" s="336" t="s">
        <v>3069</v>
      </c>
      <c r="F3552" s="338"/>
      <c r="G3552" s="338" t="s">
        <v>413</v>
      </c>
      <c r="H3552" s="338" t="s">
        <v>425</v>
      </c>
      <c r="I3552" s="338" t="s">
        <v>411</v>
      </c>
      <c r="J3552" s="339"/>
      <c r="K3552" s="339"/>
      <c r="L3552" s="339" t="s">
        <v>409</v>
      </c>
      <c r="M3552" s="339" t="s">
        <v>409</v>
      </c>
      <c r="N3552" s="338" t="s">
        <v>417</v>
      </c>
      <c r="O3552" s="338" t="s">
        <v>409</v>
      </c>
      <c r="P3552" s="338" t="s">
        <v>443</v>
      </c>
    </row>
    <row r="3553" spans="2:16" x14ac:dyDescent="0.25">
      <c r="B3553" s="336" t="s">
        <v>416</v>
      </c>
      <c r="C3553" s="337">
        <v>39125</v>
      </c>
      <c r="D3553" s="338" t="s">
        <v>3068</v>
      </c>
      <c r="E3553" s="336" t="s">
        <v>3067</v>
      </c>
      <c r="F3553" s="338"/>
      <c r="G3553" s="338" t="s">
        <v>413</v>
      </c>
      <c r="H3553" s="338" t="s">
        <v>412</v>
      </c>
      <c r="I3553" s="338" t="s">
        <v>411</v>
      </c>
      <c r="J3553" s="339"/>
      <c r="K3553" s="339"/>
      <c r="L3553" s="339" t="s">
        <v>409</v>
      </c>
      <c r="M3553" s="339" t="s">
        <v>409</v>
      </c>
      <c r="N3553" s="338" t="s">
        <v>417</v>
      </c>
      <c r="O3553" s="338" t="s">
        <v>409</v>
      </c>
      <c r="P3553" s="338" t="s">
        <v>487</v>
      </c>
    </row>
    <row r="3554" spans="2:16" x14ac:dyDescent="0.25">
      <c r="B3554" s="336" t="s">
        <v>416</v>
      </c>
      <c r="C3554" s="337">
        <v>39125</v>
      </c>
      <c r="D3554" s="338" t="s">
        <v>3066</v>
      </c>
      <c r="E3554" s="336" t="s">
        <v>2052</v>
      </c>
      <c r="F3554" s="338" t="s">
        <v>1032</v>
      </c>
      <c r="G3554" s="338">
        <v>27.1</v>
      </c>
      <c r="H3554" s="338" t="s">
        <v>425</v>
      </c>
      <c r="I3554" s="338" t="s">
        <v>411</v>
      </c>
      <c r="J3554" s="339"/>
      <c r="K3554" s="339"/>
      <c r="L3554" s="339">
        <v>2.6935500000000001</v>
      </c>
      <c r="M3554" s="339">
        <v>12.8904</v>
      </c>
      <c r="N3554" s="338"/>
      <c r="O3554" s="338" t="s">
        <v>417</v>
      </c>
      <c r="P3554" s="338" t="s">
        <v>443</v>
      </c>
    </row>
    <row r="3555" spans="2:16" x14ac:dyDescent="0.25">
      <c r="B3555" s="336" t="s">
        <v>416</v>
      </c>
      <c r="C3555" s="337">
        <v>39125</v>
      </c>
      <c r="D3555" s="338" t="s">
        <v>3065</v>
      </c>
      <c r="E3555" s="336" t="s">
        <v>2353</v>
      </c>
      <c r="F3555" s="338" t="s">
        <v>3064</v>
      </c>
      <c r="G3555" s="338">
        <v>57</v>
      </c>
      <c r="H3555" s="338" t="s">
        <v>425</v>
      </c>
      <c r="I3555" s="338" t="s">
        <v>411</v>
      </c>
      <c r="J3555" s="339"/>
      <c r="K3555" s="339"/>
      <c r="L3555" s="339"/>
      <c r="M3555" s="339"/>
      <c r="N3555" s="338"/>
      <c r="O3555" s="338" t="s">
        <v>417</v>
      </c>
      <c r="P3555" s="338" t="s">
        <v>408</v>
      </c>
    </row>
    <row r="3556" spans="2:16" x14ac:dyDescent="0.25">
      <c r="B3556" s="336" t="s">
        <v>416</v>
      </c>
      <c r="C3556" s="337">
        <v>39122</v>
      </c>
      <c r="D3556" s="338" t="s">
        <v>3063</v>
      </c>
      <c r="E3556" s="336" t="s">
        <v>3062</v>
      </c>
      <c r="F3556" s="338"/>
      <c r="G3556" s="338" t="s">
        <v>413</v>
      </c>
      <c r="H3556" s="338" t="s">
        <v>412</v>
      </c>
      <c r="I3556" s="338" t="s">
        <v>411</v>
      </c>
      <c r="J3556" s="339"/>
      <c r="K3556" s="339"/>
      <c r="L3556" s="339" t="s">
        <v>409</v>
      </c>
      <c r="M3556" s="339" t="s">
        <v>409</v>
      </c>
      <c r="N3556" s="338" t="s">
        <v>417</v>
      </c>
      <c r="O3556" s="338" t="s">
        <v>409</v>
      </c>
      <c r="P3556" s="338" t="s">
        <v>417</v>
      </c>
    </row>
    <row r="3557" spans="2:16" x14ac:dyDescent="0.25">
      <c r="B3557" s="336" t="s">
        <v>416</v>
      </c>
      <c r="C3557" s="337">
        <v>39122</v>
      </c>
      <c r="D3557" s="338" t="s">
        <v>3061</v>
      </c>
      <c r="E3557" s="336" t="s">
        <v>3060</v>
      </c>
      <c r="F3557" s="338" t="s">
        <v>3059</v>
      </c>
      <c r="G3557" s="338" t="s">
        <v>413</v>
      </c>
      <c r="H3557" s="338" t="s">
        <v>425</v>
      </c>
      <c r="I3557" s="338" t="s">
        <v>411</v>
      </c>
      <c r="J3557" s="339"/>
      <c r="K3557" s="339"/>
      <c r="L3557" s="339"/>
      <c r="M3557" s="339"/>
      <c r="N3557" s="338" t="s">
        <v>417</v>
      </c>
      <c r="O3557" s="338"/>
      <c r="P3557" s="338" t="s">
        <v>443</v>
      </c>
    </row>
    <row r="3558" spans="2:16" x14ac:dyDescent="0.25">
      <c r="B3558" s="336" t="s">
        <v>459</v>
      </c>
      <c r="C3558" s="337">
        <v>39122</v>
      </c>
      <c r="D3558" s="338" t="s">
        <v>3058</v>
      </c>
      <c r="E3558" s="336" t="s">
        <v>3057</v>
      </c>
      <c r="F3558" s="338"/>
      <c r="G3558" s="338">
        <v>62</v>
      </c>
      <c r="H3558" s="338" t="s">
        <v>425</v>
      </c>
      <c r="I3558" s="338" t="s">
        <v>411</v>
      </c>
      <c r="J3558" s="339"/>
      <c r="K3558" s="339"/>
      <c r="L3558" s="339" t="s">
        <v>409</v>
      </c>
      <c r="M3558" s="339" t="s">
        <v>409</v>
      </c>
      <c r="N3558" s="338" t="s">
        <v>417</v>
      </c>
      <c r="O3558" s="338" t="s">
        <v>409</v>
      </c>
      <c r="P3558" s="338" t="s">
        <v>417</v>
      </c>
    </row>
    <row r="3559" spans="2:16" x14ac:dyDescent="0.25">
      <c r="B3559" s="336" t="s">
        <v>416</v>
      </c>
      <c r="C3559" s="337">
        <v>39122</v>
      </c>
      <c r="D3559" s="338" t="s">
        <v>3056</v>
      </c>
      <c r="E3559" s="336" t="s">
        <v>1444</v>
      </c>
      <c r="F3559" s="338" t="s">
        <v>1708</v>
      </c>
      <c r="G3559" s="338">
        <v>1650</v>
      </c>
      <c r="H3559" s="338" t="s">
        <v>425</v>
      </c>
      <c r="I3559" s="338" t="s">
        <v>411</v>
      </c>
      <c r="J3559" s="339">
        <v>2.5147400000000002</v>
      </c>
      <c r="K3559" s="339">
        <v>12.5511</v>
      </c>
      <c r="L3559" s="339">
        <v>4.6013799999999998</v>
      </c>
      <c r="M3559" s="339">
        <v>8.13809</v>
      </c>
      <c r="N3559" s="338" t="s">
        <v>417</v>
      </c>
      <c r="O3559" s="338" t="s">
        <v>443</v>
      </c>
      <c r="P3559" s="338"/>
    </row>
    <row r="3560" spans="2:16" x14ac:dyDescent="0.25">
      <c r="B3560" s="336" t="s">
        <v>416</v>
      </c>
      <c r="C3560" s="337">
        <v>39122</v>
      </c>
      <c r="D3560" s="338" t="s">
        <v>3055</v>
      </c>
      <c r="E3560" s="336" t="s">
        <v>438</v>
      </c>
      <c r="F3560" s="338" t="s">
        <v>3054</v>
      </c>
      <c r="G3560" s="338">
        <v>3.2</v>
      </c>
      <c r="H3560" s="338" t="s">
        <v>507</v>
      </c>
      <c r="I3560" s="338" t="s">
        <v>411</v>
      </c>
      <c r="J3560" s="339"/>
      <c r="K3560" s="339"/>
      <c r="L3560" s="339"/>
      <c r="M3560" s="339"/>
      <c r="N3560" s="338" t="s">
        <v>410</v>
      </c>
      <c r="O3560" s="338" t="s">
        <v>443</v>
      </c>
      <c r="P3560" s="338" t="s">
        <v>417</v>
      </c>
    </row>
    <row r="3561" spans="2:16" x14ac:dyDescent="0.25">
      <c r="B3561" s="336" t="s">
        <v>416</v>
      </c>
      <c r="C3561" s="337">
        <v>39121</v>
      </c>
      <c r="D3561" s="338" t="s">
        <v>3053</v>
      </c>
      <c r="E3561" s="336" t="s">
        <v>1605</v>
      </c>
      <c r="F3561" s="338"/>
      <c r="G3561" s="338">
        <v>142.1</v>
      </c>
      <c r="H3561" s="338" t="s">
        <v>425</v>
      </c>
      <c r="I3561" s="338" t="s">
        <v>411</v>
      </c>
      <c r="J3561" s="339"/>
      <c r="K3561" s="339"/>
      <c r="L3561" s="339" t="s">
        <v>409</v>
      </c>
      <c r="M3561" s="339" t="s">
        <v>409</v>
      </c>
      <c r="N3561" s="338" t="s">
        <v>417</v>
      </c>
      <c r="O3561" s="338" t="s">
        <v>409</v>
      </c>
      <c r="P3561" s="338" t="s">
        <v>417</v>
      </c>
    </row>
    <row r="3562" spans="2:16" x14ac:dyDescent="0.25">
      <c r="B3562" s="336" t="s">
        <v>416</v>
      </c>
      <c r="C3562" s="337">
        <v>39121</v>
      </c>
      <c r="D3562" s="338" t="s">
        <v>3052</v>
      </c>
      <c r="E3562" s="336" t="s">
        <v>3051</v>
      </c>
      <c r="F3562" s="338"/>
      <c r="G3562" s="338" t="s">
        <v>413</v>
      </c>
      <c r="H3562" s="338" t="s">
        <v>412</v>
      </c>
      <c r="I3562" s="338" t="s">
        <v>411</v>
      </c>
      <c r="J3562" s="339"/>
      <c r="K3562" s="339"/>
      <c r="L3562" s="339" t="s">
        <v>409</v>
      </c>
      <c r="M3562" s="339" t="s">
        <v>409</v>
      </c>
      <c r="N3562" s="338" t="s">
        <v>417</v>
      </c>
      <c r="O3562" s="338" t="s">
        <v>409</v>
      </c>
      <c r="P3562" s="338" t="s">
        <v>605</v>
      </c>
    </row>
    <row r="3563" spans="2:16" x14ac:dyDescent="0.25">
      <c r="B3563" s="336" t="s">
        <v>416</v>
      </c>
      <c r="C3563" s="337">
        <v>39120</v>
      </c>
      <c r="D3563" s="338" t="s">
        <v>692</v>
      </c>
      <c r="E3563" s="336" t="s">
        <v>485</v>
      </c>
      <c r="F3563" s="338"/>
      <c r="G3563" s="338">
        <v>4.9000000000000004</v>
      </c>
      <c r="H3563" s="338" t="s">
        <v>425</v>
      </c>
      <c r="I3563" s="338" t="s">
        <v>411</v>
      </c>
      <c r="J3563" s="339"/>
      <c r="K3563" s="339"/>
      <c r="L3563" s="339" t="s">
        <v>409</v>
      </c>
      <c r="M3563" s="339" t="s">
        <v>409</v>
      </c>
      <c r="N3563" s="338"/>
      <c r="O3563" s="338" t="s">
        <v>409</v>
      </c>
      <c r="P3563" s="338" t="s">
        <v>417</v>
      </c>
    </row>
    <row r="3564" spans="2:16" x14ac:dyDescent="0.25">
      <c r="B3564" s="336" t="s">
        <v>416</v>
      </c>
      <c r="C3564" s="337">
        <v>39120</v>
      </c>
      <c r="D3564" s="338" t="s">
        <v>3050</v>
      </c>
      <c r="E3564" s="336" t="s">
        <v>3049</v>
      </c>
      <c r="F3564" s="338" t="s">
        <v>3048</v>
      </c>
      <c r="G3564" s="338" t="s">
        <v>413</v>
      </c>
      <c r="H3564" s="338" t="s">
        <v>412</v>
      </c>
      <c r="I3564" s="338" t="s">
        <v>411</v>
      </c>
      <c r="J3564" s="339"/>
      <c r="K3564" s="339"/>
      <c r="L3564" s="339"/>
      <c r="M3564" s="339"/>
      <c r="N3564" s="338" t="s">
        <v>417</v>
      </c>
      <c r="O3564" s="338" t="s">
        <v>443</v>
      </c>
      <c r="P3564" s="338" t="s">
        <v>417</v>
      </c>
    </row>
    <row r="3565" spans="2:16" x14ac:dyDescent="0.25">
      <c r="B3565" s="336" t="s">
        <v>416</v>
      </c>
      <c r="C3565" s="337">
        <v>39120</v>
      </c>
      <c r="D3565" s="338" t="s">
        <v>1638</v>
      </c>
      <c r="E3565" s="336" t="s">
        <v>1371</v>
      </c>
      <c r="F3565" s="338"/>
      <c r="G3565" s="338" t="s">
        <v>413</v>
      </c>
      <c r="H3565" s="338" t="s">
        <v>336</v>
      </c>
      <c r="I3565" s="338" t="s">
        <v>411</v>
      </c>
      <c r="J3565" s="339"/>
      <c r="K3565" s="339"/>
      <c r="L3565" s="339" t="s">
        <v>409</v>
      </c>
      <c r="M3565" s="339" t="s">
        <v>409</v>
      </c>
      <c r="N3565" s="338" t="s">
        <v>417</v>
      </c>
      <c r="O3565" s="338" t="s">
        <v>409</v>
      </c>
      <c r="P3565" s="338" t="s">
        <v>417</v>
      </c>
    </row>
    <row r="3566" spans="2:16" x14ac:dyDescent="0.25">
      <c r="B3566" s="336" t="s">
        <v>542</v>
      </c>
      <c r="C3566" s="337">
        <v>39120</v>
      </c>
      <c r="D3566" s="338" t="s">
        <v>2065</v>
      </c>
      <c r="E3566" s="336" t="s">
        <v>539</v>
      </c>
      <c r="F3566" s="338"/>
      <c r="G3566" s="338">
        <v>7.0000000000000007E-2</v>
      </c>
      <c r="H3566" s="338"/>
      <c r="I3566" s="338" t="s">
        <v>411</v>
      </c>
      <c r="J3566" s="339">
        <v>3.0150299999999999</v>
      </c>
      <c r="K3566" s="339">
        <v>16.000699999999998</v>
      </c>
      <c r="L3566" s="339" t="s">
        <v>409</v>
      </c>
      <c r="M3566" s="339" t="s">
        <v>409</v>
      </c>
      <c r="N3566" s="338" t="s">
        <v>417</v>
      </c>
      <c r="O3566" s="338" t="s">
        <v>409</v>
      </c>
      <c r="P3566" s="338" t="s">
        <v>417</v>
      </c>
    </row>
    <row r="3567" spans="2:16" x14ac:dyDescent="0.25">
      <c r="B3567" s="336" t="s">
        <v>416</v>
      </c>
      <c r="C3567" s="337">
        <v>39119</v>
      </c>
      <c r="D3567" s="338" t="s">
        <v>3047</v>
      </c>
      <c r="E3567" s="336" t="s">
        <v>1001</v>
      </c>
      <c r="F3567" s="338"/>
      <c r="G3567" s="338">
        <v>334</v>
      </c>
      <c r="H3567" s="338" t="s">
        <v>425</v>
      </c>
      <c r="I3567" s="338" t="s">
        <v>411</v>
      </c>
      <c r="J3567" s="339"/>
      <c r="K3567" s="339"/>
      <c r="L3567" s="339" t="s">
        <v>409</v>
      </c>
      <c r="M3567" s="339" t="s">
        <v>409</v>
      </c>
      <c r="N3567" s="338" t="s">
        <v>410</v>
      </c>
      <c r="O3567" s="338" t="s">
        <v>409</v>
      </c>
      <c r="P3567" s="338" t="s">
        <v>417</v>
      </c>
    </row>
    <row r="3568" spans="2:16" x14ac:dyDescent="0.25">
      <c r="B3568" s="336" t="s">
        <v>416</v>
      </c>
      <c r="C3568" s="337">
        <v>39119</v>
      </c>
      <c r="D3568" s="338" t="s">
        <v>3046</v>
      </c>
      <c r="E3568" s="336" t="s">
        <v>593</v>
      </c>
      <c r="F3568" s="338"/>
      <c r="G3568" s="338" t="s">
        <v>413</v>
      </c>
      <c r="H3568" s="338" t="s">
        <v>425</v>
      </c>
      <c r="I3568" s="338" t="s">
        <v>411</v>
      </c>
      <c r="J3568" s="339"/>
      <c r="K3568" s="339"/>
      <c r="L3568" s="339" t="s">
        <v>409</v>
      </c>
      <c r="M3568" s="339" t="s">
        <v>409</v>
      </c>
      <c r="N3568" s="338"/>
      <c r="O3568" s="338" t="s">
        <v>409</v>
      </c>
      <c r="P3568" s="338" t="s">
        <v>443</v>
      </c>
    </row>
    <row r="3569" spans="2:16" x14ac:dyDescent="0.25">
      <c r="B3569" s="336" t="s">
        <v>416</v>
      </c>
      <c r="C3569" s="337">
        <v>39115</v>
      </c>
      <c r="D3569" s="338" t="s">
        <v>3045</v>
      </c>
      <c r="E3569" s="336" t="s">
        <v>3044</v>
      </c>
      <c r="F3569" s="338"/>
      <c r="G3569" s="338" t="s">
        <v>413</v>
      </c>
      <c r="H3569" s="338" t="s">
        <v>425</v>
      </c>
      <c r="I3569" s="338" t="s">
        <v>411</v>
      </c>
      <c r="J3569" s="339"/>
      <c r="K3569" s="339"/>
      <c r="L3569" s="339" t="s">
        <v>409</v>
      </c>
      <c r="M3569" s="339" t="s">
        <v>409</v>
      </c>
      <c r="N3569" s="338" t="s">
        <v>417</v>
      </c>
      <c r="O3569" s="338" t="s">
        <v>409</v>
      </c>
      <c r="P3569" s="338" t="s">
        <v>443</v>
      </c>
    </row>
    <row r="3570" spans="2:16" x14ac:dyDescent="0.25">
      <c r="B3570" s="336" t="s">
        <v>416</v>
      </c>
      <c r="C3570" s="337">
        <v>39114</v>
      </c>
      <c r="D3570" s="338" t="s">
        <v>3043</v>
      </c>
      <c r="E3570" s="336" t="s">
        <v>3042</v>
      </c>
      <c r="F3570" s="338"/>
      <c r="G3570" s="338" t="s">
        <v>413</v>
      </c>
      <c r="H3570" s="338" t="s">
        <v>412</v>
      </c>
      <c r="I3570" s="338" t="s">
        <v>411</v>
      </c>
      <c r="J3570" s="339"/>
      <c r="K3570" s="339"/>
      <c r="L3570" s="339" t="s">
        <v>409</v>
      </c>
      <c r="M3570" s="339" t="s">
        <v>409</v>
      </c>
      <c r="N3570" s="338" t="s">
        <v>417</v>
      </c>
      <c r="O3570" s="338" t="s">
        <v>409</v>
      </c>
      <c r="P3570" s="338" t="s">
        <v>487</v>
      </c>
    </row>
    <row r="3571" spans="2:16" x14ac:dyDescent="0.25">
      <c r="B3571" s="336" t="s">
        <v>416</v>
      </c>
      <c r="C3571" s="337">
        <v>39114</v>
      </c>
      <c r="D3571" s="338" t="s">
        <v>3041</v>
      </c>
      <c r="E3571" s="336" t="s">
        <v>2562</v>
      </c>
      <c r="F3571" s="338" t="s">
        <v>3040</v>
      </c>
      <c r="G3571" s="338">
        <v>2.6</v>
      </c>
      <c r="H3571" s="338" t="s">
        <v>425</v>
      </c>
      <c r="I3571" s="338" t="s">
        <v>411</v>
      </c>
      <c r="J3571" s="339"/>
      <c r="K3571" s="339"/>
      <c r="L3571" s="339"/>
      <c r="M3571" s="339"/>
      <c r="N3571" s="338"/>
      <c r="O3571" s="338" t="s">
        <v>417</v>
      </c>
      <c r="P3571" s="338" t="s">
        <v>432</v>
      </c>
    </row>
    <row r="3572" spans="2:16" x14ac:dyDescent="0.25">
      <c r="B3572" s="336" t="s">
        <v>416</v>
      </c>
      <c r="C3572" s="337">
        <v>39114</v>
      </c>
      <c r="D3572" s="338" t="s">
        <v>3039</v>
      </c>
      <c r="E3572" s="336" t="s">
        <v>3038</v>
      </c>
      <c r="F3572" s="338"/>
      <c r="G3572" s="338" t="s">
        <v>413</v>
      </c>
      <c r="H3572" s="338" t="s">
        <v>425</v>
      </c>
      <c r="I3572" s="338" t="s">
        <v>411</v>
      </c>
      <c r="J3572" s="339"/>
      <c r="K3572" s="339"/>
      <c r="L3572" s="339" t="s">
        <v>409</v>
      </c>
      <c r="M3572" s="339" t="s">
        <v>409</v>
      </c>
      <c r="N3572" s="338"/>
      <c r="O3572" s="338" t="s">
        <v>409</v>
      </c>
      <c r="P3572" s="338" t="s">
        <v>417</v>
      </c>
    </row>
    <row r="3573" spans="2:16" x14ac:dyDescent="0.25">
      <c r="B3573" s="336" t="s">
        <v>416</v>
      </c>
      <c r="C3573" s="337">
        <v>39113</v>
      </c>
      <c r="D3573" s="338" t="s">
        <v>3037</v>
      </c>
      <c r="E3573" s="336" t="s">
        <v>3036</v>
      </c>
      <c r="F3573" s="338"/>
      <c r="G3573" s="338">
        <v>15</v>
      </c>
      <c r="H3573" s="338" t="s">
        <v>336</v>
      </c>
      <c r="I3573" s="338" t="s">
        <v>411</v>
      </c>
      <c r="J3573" s="339"/>
      <c r="K3573" s="339"/>
      <c r="L3573" s="339" t="s">
        <v>409</v>
      </c>
      <c r="M3573" s="339" t="s">
        <v>409</v>
      </c>
      <c r="N3573" s="338" t="s">
        <v>487</v>
      </c>
      <c r="O3573" s="338" t="s">
        <v>409</v>
      </c>
      <c r="P3573" s="338" t="s">
        <v>417</v>
      </c>
    </row>
    <row r="3574" spans="2:16" x14ac:dyDescent="0.25">
      <c r="B3574" s="336" t="s">
        <v>416</v>
      </c>
      <c r="C3574" s="337">
        <v>39113</v>
      </c>
      <c r="D3574" s="338" t="s">
        <v>3035</v>
      </c>
      <c r="E3574" s="336" t="s">
        <v>438</v>
      </c>
      <c r="F3574" s="338"/>
      <c r="G3574" s="338" t="s">
        <v>413</v>
      </c>
      <c r="H3574" s="338" t="s">
        <v>412</v>
      </c>
      <c r="I3574" s="338" t="s">
        <v>411</v>
      </c>
      <c r="J3574" s="339"/>
      <c r="K3574" s="339"/>
      <c r="L3574" s="339" t="s">
        <v>409</v>
      </c>
      <c r="M3574" s="339" t="s">
        <v>409</v>
      </c>
      <c r="N3574" s="338" t="s">
        <v>417</v>
      </c>
      <c r="O3574" s="338" t="s">
        <v>409</v>
      </c>
      <c r="P3574" s="338" t="s">
        <v>417</v>
      </c>
    </row>
    <row r="3575" spans="2:16" x14ac:dyDescent="0.25">
      <c r="B3575" s="336" t="s">
        <v>416</v>
      </c>
      <c r="C3575" s="337">
        <v>39113</v>
      </c>
      <c r="D3575" s="338" t="s">
        <v>3034</v>
      </c>
      <c r="E3575" s="336" t="s">
        <v>438</v>
      </c>
      <c r="F3575" s="338"/>
      <c r="G3575" s="338" t="s">
        <v>413</v>
      </c>
      <c r="H3575" s="338" t="s">
        <v>412</v>
      </c>
      <c r="I3575" s="338" t="s">
        <v>411</v>
      </c>
      <c r="J3575" s="339"/>
      <c r="K3575" s="339"/>
      <c r="L3575" s="339" t="s">
        <v>409</v>
      </c>
      <c r="M3575" s="339" t="s">
        <v>409</v>
      </c>
      <c r="N3575" s="338" t="s">
        <v>417</v>
      </c>
      <c r="O3575" s="338" t="s">
        <v>409</v>
      </c>
      <c r="P3575" s="338" t="s">
        <v>417</v>
      </c>
    </row>
    <row r="3576" spans="2:16" x14ac:dyDescent="0.25">
      <c r="B3576" s="336" t="s">
        <v>416</v>
      </c>
      <c r="C3576" s="337">
        <v>39113</v>
      </c>
      <c r="D3576" s="338" t="s">
        <v>3033</v>
      </c>
      <c r="E3576" s="336" t="s">
        <v>3032</v>
      </c>
      <c r="F3576" s="338"/>
      <c r="G3576" s="338" t="s">
        <v>413</v>
      </c>
      <c r="H3576" s="338" t="s">
        <v>425</v>
      </c>
      <c r="I3576" s="338" t="s">
        <v>411</v>
      </c>
      <c r="J3576" s="339"/>
      <c r="K3576" s="339"/>
      <c r="L3576" s="339" t="s">
        <v>409</v>
      </c>
      <c r="M3576" s="339" t="s">
        <v>409</v>
      </c>
      <c r="N3576" s="338" t="s">
        <v>410</v>
      </c>
      <c r="O3576" s="338" t="s">
        <v>409</v>
      </c>
      <c r="P3576" s="338" t="s">
        <v>443</v>
      </c>
    </row>
    <row r="3577" spans="2:16" x14ac:dyDescent="0.25">
      <c r="B3577" s="336" t="s">
        <v>416</v>
      </c>
      <c r="C3577" s="337">
        <v>39113</v>
      </c>
      <c r="D3577" s="338" t="s">
        <v>3031</v>
      </c>
      <c r="E3577" s="336" t="s">
        <v>3030</v>
      </c>
      <c r="F3577" s="338"/>
      <c r="G3577" s="338" t="s">
        <v>413</v>
      </c>
      <c r="H3577" s="338" t="s">
        <v>425</v>
      </c>
      <c r="I3577" s="338" t="s">
        <v>411</v>
      </c>
      <c r="J3577" s="339"/>
      <c r="K3577" s="339"/>
      <c r="L3577" s="339" t="s">
        <v>409</v>
      </c>
      <c r="M3577" s="339" t="s">
        <v>409</v>
      </c>
      <c r="N3577" s="338" t="s">
        <v>417</v>
      </c>
      <c r="O3577" s="338" t="s">
        <v>409</v>
      </c>
      <c r="P3577" s="338" t="s">
        <v>443</v>
      </c>
    </row>
    <row r="3578" spans="2:16" x14ac:dyDescent="0.25">
      <c r="B3578" s="336" t="s">
        <v>416</v>
      </c>
      <c r="C3578" s="337">
        <v>39113</v>
      </c>
      <c r="D3578" s="338" t="s">
        <v>3029</v>
      </c>
      <c r="E3578" s="336" t="s">
        <v>669</v>
      </c>
      <c r="F3578" s="338" t="s">
        <v>463</v>
      </c>
      <c r="G3578" s="338" t="s">
        <v>413</v>
      </c>
      <c r="H3578" s="338" t="s">
        <v>425</v>
      </c>
      <c r="I3578" s="338" t="s">
        <v>411</v>
      </c>
      <c r="J3578" s="339"/>
      <c r="K3578" s="339"/>
      <c r="L3578" s="339">
        <v>0.43101099999999998</v>
      </c>
      <c r="M3578" s="339">
        <v>12.176500000000001</v>
      </c>
      <c r="N3578" s="338"/>
      <c r="O3578" s="338" t="s">
        <v>417</v>
      </c>
      <c r="P3578" s="338"/>
    </row>
    <row r="3579" spans="2:16" x14ac:dyDescent="0.25">
      <c r="B3579" s="336" t="s">
        <v>416</v>
      </c>
      <c r="C3579" s="337">
        <v>39113</v>
      </c>
      <c r="D3579" s="338" t="s">
        <v>3028</v>
      </c>
      <c r="E3579" s="336" t="s">
        <v>3027</v>
      </c>
      <c r="F3579" s="338"/>
      <c r="G3579" s="338" t="s">
        <v>413</v>
      </c>
      <c r="H3579" s="338" t="s">
        <v>412</v>
      </c>
      <c r="I3579" s="338" t="s">
        <v>411</v>
      </c>
      <c r="J3579" s="339"/>
      <c r="K3579" s="339"/>
      <c r="L3579" s="339" t="s">
        <v>409</v>
      </c>
      <c r="M3579" s="339" t="s">
        <v>409</v>
      </c>
      <c r="N3579" s="338" t="s">
        <v>417</v>
      </c>
      <c r="O3579" s="338" t="s">
        <v>409</v>
      </c>
      <c r="P3579" s="338" t="s">
        <v>417</v>
      </c>
    </row>
    <row r="3580" spans="2:16" x14ac:dyDescent="0.25">
      <c r="B3580" s="336" t="s">
        <v>416</v>
      </c>
      <c r="C3580" s="337">
        <v>39113</v>
      </c>
      <c r="D3580" s="338" t="s">
        <v>3026</v>
      </c>
      <c r="E3580" s="336" t="s">
        <v>463</v>
      </c>
      <c r="F3580" s="338"/>
      <c r="G3580" s="338" t="s">
        <v>413</v>
      </c>
      <c r="H3580" s="338" t="s">
        <v>412</v>
      </c>
      <c r="I3580" s="338" t="s">
        <v>411</v>
      </c>
      <c r="J3580" s="339"/>
      <c r="K3580" s="339"/>
      <c r="L3580" s="339" t="s">
        <v>409</v>
      </c>
      <c r="M3580" s="339" t="s">
        <v>409</v>
      </c>
      <c r="N3580" s="338" t="s">
        <v>417</v>
      </c>
      <c r="O3580" s="338" t="s">
        <v>409</v>
      </c>
      <c r="P3580" s="338" t="s">
        <v>417</v>
      </c>
    </row>
    <row r="3581" spans="2:16" x14ac:dyDescent="0.25">
      <c r="B3581" s="336" t="s">
        <v>416</v>
      </c>
      <c r="C3581" s="337">
        <v>39113</v>
      </c>
      <c r="D3581" s="338" t="s">
        <v>956</v>
      </c>
      <c r="E3581" s="336" t="s">
        <v>2918</v>
      </c>
      <c r="F3581" s="338" t="s">
        <v>3025</v>
      </c>
      <c r="G3581" s="338">
        <v>1</v>
      </c>
      <c r="H3581" s="338" t="s">
        <v>425</v>
      </c>
      <c r="I3581" s="338" t="s">
        <v>411</v>
      </c>
      <c r="J3581" s="339"/>
      <c r="K3581" s="339"/>
      <c r="L3581" s="339"/>
      <c r="M3581" s="339"/>
      <c r="N3581" s="338"/>
      <c r="O3581" s="338" t="s">
        <v>417</v>
      </c>
      <c r="P3581" s="338" t="s">
        <v>417</v>
      </c>
    </row>
    <row r="3582" spans="2:16" x14ac:dyDescent="0.25">
      <c r="B3582" s="336" t="s">
        <v>416</v>
      </c>
      <c r="C3582" s="337">
        <v>39113</v>
      </c>
      <c r="D3582" s="338" t="s">
        <v>3024</v>
      </c>
      <c r="E3582" s="336" t="s">
        <v>2058</v>
      </c>
      <c r="F3582" s="338"/>
      <c r="G3582" s="338">
        <v>47.5</v>
      </c>
      <c r="H3582" s="338" t="s">
        <v>425</v>
      </c>
      <c r="I3582" s="338" t="s">
        <v>411</v>
      </c>
      <c r="J3582" s="339"/>
      <c r="K3582" s="339"/>
      <c r="L3582" s="339" t="s">
        <v>409</v>
      </c>
      <c r="M3582" s="339" t="s">
        <v>409</v>
      </c>
      <c r="N3582" s="338"/>
      <c r="O3582" s="338" t="s">
        <v>409</v>
      </c>
      <c r="P3582" s="338" t="s">
        <v>417</v>
      </c>
    </row>
    <row r="3583" spans="2:16" x14ac:dyDescent="0.25">
      <c r="B3583" s="336" t="s">
        <v>416</v>
      </c>
      <c r="C3583" s="337">
        <v>39113</v>
      </c>
      <c r="D3583" s="338" t="s">
        <v>3023</v>
      </c>
      <c r="E3583" s="336" t="s">
        <v>3022</v>
      </c>
      <c r="F3583" s="338"/>
      <c r="G3583" s="338" t="s">
        <v>413</v>
      </c>
      <c r="H3583" s="338" t="s">
        <v>425</v>
      </c>
      <c r="I3583" s="338" t="s">
        <v>411</v>
      </c>
      <c r="J3583" s="339"/>
      <c r="K3583" s="339"/>
      <c r="L3583" s="339" t="s">
        <v>409</v>
      </c>
      <c r="M3583" s="339" t="s">
        <v>409</v>
      </c>
      <c r="N3583" s="338" t="s">
        <v>417</v>
      </c>
      <c r="O3583" s="338" t="s">
        <v>409</v>
      </c>
      <c r="P3583" s="338" t="s">
        <v>443</v>
      </c>
    </row>
    <row r="3584" spans="2:16" x14ac:dyDescent="0.25">
      <c r="B3584" s="336" t="s">
        <v>416</v>
      </c>
      <c r="C3584" s="337">
        <v>39112</v>
      </c>
      <c r="D3584" s="338" t="s">
        <v>3021</v>
      </c>
      <c r="E3584" s="336" t="s">
        <v>1808</v>
      </c>
      <c r="F3584" s="338"/>
      <c r="G3584" s="338">
        <v>5</v>
      </c>
      <c r="H3584" s="338" t="s">
        <v>425</v>
      </c>
      <c r="I3584" s="338" t="s">
        <v>411</v>
      </c>
      <c r="J3584" s="339"/>
      <c r="K3584" s="339"/>
      <c r="L3584" s="339" t="s">
        <v>409</v>
      </c>
      <c r="M3584" s="339" t="s">
        <v>409</v>
      </c>
      <c r="N3584" s="338" t="s">
        <v>487</v>
      </c>
      <c r="O3584" s="338" t="s">
        <v>409</v>
      </c>
      <c r="P3584" s="338" t="s">
        <v>417</v>
      </c>
    </row>
    <row r="3585" spans="2:16" x14ac:dyDescent="0.25">
      <c r="B3585" s="336" t="s">
        <v>416</v>
      </c>
      <c r="C3585" s="337">
        <v>39112</v>
      </c>
      <c r="D3585" s="338" t="s">
        <v>3020</v>
      </c>
      <c r="E3585" s="336" t="s">
        <v>1951</v>
      </c>
      <c r="F3585" s="338" t="s">
        <v>3019</v>
      </c>
      <c r="G3585" s="338" t="s">
        <v>413</v>
      </c>
      <c r="H3585" s="338" t="s">
        <v>425</v>
      </c>
      <c r="I3585" s="338" t="s">
        <v>411</v>
      </c>
      <c r="J3585" s="339"/>
      <c r="K3585" s="339"/>
      <c r="L3585" s="339"/>
      <c r="M3585" s="339"/>
      <c r="N3585" s="338"/>
      <c r="O3585" s="338" t="s">
        <v>417</v>
      </c>
      <c r="P3585" s="338" t="s">
        <v>417</v>
      </c>
    </row>
    <row r="3586" spans="2:16" x14ac:dyDescent="0.25">
      <c r="B3586" s="336" t="s">
        <v>416</v>
      </c>
      <c r="C3586" s="337">
        <v>39112</v>
      </c>
      <c r="D3586" s="338" t="s">
        <v>956</v>
      </c>
      <c r="E3586" s="336" t="s">
        <v>2962</v>
      </c>
      <c r="F3586" s="338"/>
      <c r="G3586" s="338" t="s">
        <v>413</v>
      </c>
      <c r="H3586" s="338" t="s">
        <v>425</v>
      </c>
      <c r="I3586" s="338" t="s">
        <v>411</v>
      </c>
      <c r="J3586" s="339"/>
      <c r="K3586" s="339"/>
      <c r="L3586" s="339" t="s">
        <v>409</v>
      </c>
      <c r="M3586" s="339" t="s">
        <v>409</v>
      </c>
      <c r="N3586" s="338"/>
      <c r="O3586" s="338" t="s">
        <v>409</v>
      </c>
      <c r="P3586" s="338" t="s">
        <v>417</v>
      </c>
    </row>
    <row r="3587" spans="2:16" x14ac:dyDescent="0.25">
      <c r="B3587" s="336" t="s">
        <v>416</v>
      </c>
      <c r="C3587" s="337">
        <v>39111</v>
      </c>
      <c r="D3587" s="338" t="s">
        <v>2710</v>
      </c>
      <c r="E3587" s="336" t="s">
        <v>2407</v>
      </c>
      <c r="F3587" s="338"/>
      <c r="G3587" s="338">
        <v>24</v>
      </c>
      <c r="H3587" s="338" t="s">
        <v>336</v>
      </c>
      <c r="I3587" s="338" t="s">
        <v>411</v>
      </c>
      <c r="J3587" s="339"/>
      <c r="K3587" s="339"/>
      <c r="L3587" s="339" t="s">
        <v>409</v>
      </c>
      <c r="M3587" s="339" t="s">
        <v>409</v>
      </c>
      <c r="N3587" s="338" t="s">
        <v>417</v>
      </c>
      <c r="O3587" s="338" t="s">
        <v>409</v>
      </c>
      <c r="P3587" s="338" t="s">
        <v>410</v>
      </c>
    </row>
    <row r="3588" spans="2:16" x14ac:dyDescent="0.25">
      <c r="B3588" s="336" t="s">
        <v>416</v>
      </c>
      <c r="C3588" s="337">
        <v>39111</v>
      </c>
      <c r="D3588" s="338" t="s">
        <v>3018</v>
      </c>
      <c r="E3588" s="336" t="s">
        <v>3017</v>
      </c>
      <c r="F3588" s="338" t="s">
        <v>3016</v>
      </c>
      <c r="G3588" s="338">
        <v>63</v>
      </c>
      <c r="H3588" s="338" t="s">
        <v>425</v>
      </c>
      <c r="I3588" s="338" t="s">
        <v>411</v>
      </c>
      <c r="J3588" s="339"/>
      <c r="K3588" s="339"/>
      <c r="L3588" s="339">
        <v>0.459422</v>
      </c>
      <c r="M3588" s="339">
        <v>10.7318</v>
      </c>
      <c r="N3588" s="338"/>
      <c r="O3588" s="338" t="s">
        <v>417</v>
      </c>
      <c r="P3588" s="338" t="s">
        <v>417</v>
      </c>
    </row>
    <row r="3589" spans="2:16" x14ac:dyDescent="0.25">
      <c r="B3589" s="336" t="s">
        <v>416</v>
      </c>
      <c r="C3589" s="337">
        <v>39111</v>
      </c>
      <c r="D3589" s="338" t="s">
        <v>3015</v>
      </c>
      <c r="E3589" s="336" t="s">
        <v>3014</v>
      </c>
      <c r="F3589" s="338" t="s">
        <v>2710</v>
      </c>
      <c r="G3589" s="338" t="s">
        <v>413</v>
      </c>
      <c r="H3589" s="338" t="s">
        <v>425</v>
      </c>
      <c r="I3589" s="338" t="s">
        <v>411</v>
      </c>
      <c r="J3589" s="339"/>
      <c r="K3589" s="339"/>
      <c r="L3589" s="339"/>
      <c r="M3589" s="339"/>
      <c r="N3589" s="338"/>
      <c r="O3589" s="338" t="s">
        <v>417</v>
      </c>
      <c r="P3589" s="338" t="s">
        <v>410</v>
      </c>
    </row>
    <row r="3590" spans="2:16" x14ac:dyDescent="0.25">
      <c r="B3590" s="336" t="s">
        <v>416</v>
      </c>
      <c r="C3590" s="337">
        <v>39108</v>
      </c>
      <c r="D3590" s="338" t="s">
        <v>3013</v>
      </c>
      <c r="E3590" s="336" t="s">
        <v>3012</v>
      </c>
      <c r="F3590" s="338" t="s">
        <v>3011</v>
      </c>
      <c r="G3590" s="338" t="s">
        <v>413</v>
      </c>
      <c r="H3590" s="338" t="s">
        <v>425</v>
      </c>
      <c r="I3590" s="338" t="s">
        <v>411</v>
      </c>
      <c r="J3590" s="339"/>
      <c r="K3590" s="339"/>
      <c r="L3590" s="339"/>
      <c r="M3590" s="339"/>
      <c r="N3590" s="338"/>
      <c r="O3590" s="338" t="s">
        <v>417</v>
      </c>
      <c r="P3590" s="338" t="s">
        <v>417</v>
      </c>
    </row>
    <row r="3591" spans="2:16" x14ac:dyDescent="0.25">
      <c r="B3591" s="336" t="s">
        <v>416</v>
      </c>
      <c r="C3591" s="337">
        <v>39107</v>
      </c>
      <c r="D3591" s="338" t="s">
        <v>3010</v>
      </c>
      <c r="E3591" s="336" t="s">
        <v>3009</v>
      </c>
      <c r="F3591" s="338"/>
      <c r="G3591" s="338" t="s">
        <v>413</v>
      </c>
      <c r="H3591" s="338" t="s">
        <v>412</v>
      </c>
      <c r="I3591" s="338" t="s">
        <v>411</v>
      </c>
      <c r="J3591" s="339"/>
      <c r="K3591" s="339"/>
      <c r="L3591" s="339" t="s">
        <v>409</v>
      </c>
      <c r="M3591" s="339" t="s">
        <v>409</v>
      </c>
      <c r="N3591" s="338" t="s">
        <v>417</v>
      </c>
      <c r="O3591" s="338" t="s">
        <v>409</v>
      </c>
      <c r="P3591" s="338" t="s">
        <v>410</v>
      </c>
    </row>
    <row r="3592" spans="2:16" x14ac:dyDescent="0.25">
      <c r="B3592" s="336" t="s">
        <v>416</v>
      </c>
      <c r="C3592" s="337">
        <v>39107</v>
      </c>
      <c r="D3592" s="338" t="s">
        <v>3008</v>
      </c>
      <c r="E3592" s="336" t="s">
        <v>3007</v>
      </c>
      <c r="F3592" s="338" t="s">
        <v>3006</v>
      </c>
      <c r="G3592" s="338" t="s">
        <v>413</v>
      </c>
      <c r="H3592" s="338" t="s">
        <v>412</v>
      </c>
      <c r="I3592" s="338" t="s">
        <v>411</v>
      </c>
      <c r="J3592" s="339"/>
      <c r="K3592" s="339"/>
      <c r="L3592" s="339"/>
      <c r="M3592" s="339"/>
      <c r="N3592" s="338" t="s">
        <v>410</v>
      </c>
      <c r="O3592" s="338" t="s">
        <v>443</v>
      </c>
      <c r="P3592" s="338" t="s">
        <v>410</v>
      </c>
    </row>
    <row r="3593" spans="2:16" x14ac:dyDescent="0.25">
      <c r="B3593" s="336" t="s">
        <v>416</v>
      </c>
      <c r="C3593" s="337">
        <v>39106</v>
      </c>
      <c r="D3593" s="338" t="s">
        <v>3005</v>
      </c>
      <c r="E3593" s="336" t="s">
        <v>3004</v>
      </c>
      <c r="F3593" s="338" t="s">
        <v>3003</v>
      </c>
      <c r="G3593" s="338" t="s">
        <v>413</v>
      </c>
      <c r="H3593" s="338" t="s">
        <v>412</v>
      </c>
      <c r="I3593" s="338" t="s">
        <v>411</v>
      </c>
      <c r="J3593" s="339"/>
      <c r="K3593" s="339"/>
      <c r="L3593" s="339">
        <v>1.9857</v>
      </c>
      <c r="M3593" s="339">
        <v>7.6005700000000003</v>
      </c>
      <c r="N3593" s="338"/>
      <c r="O3593" s="338" t="s">
        <v>410</v>
      </c>
      <c r="P3593" s="338" t="s">
        <v>417</v>
      </c>
    </row>
    <row r="3594" spans="2:16" x14ac:dyDescent="0.25">
      <c r="B3594" s="336" t="s">
        <v>416</v>
      </c>
      <c r="C3594" s="337">
        <v>39106</v>
      </c>
      <c r="D3594" s="338" t="s">
        <v>3002</v>
      </c>
      <c r="E3594" s="336" t="s">
        <v>1115</v>
      </c>
      <c r="F3594" s="338"/>
      <c r="G3594" s="338" t="s">
        <v>413</v>
      </c>
      <c r="H3594" s="338" t="s">
        <v>425</v>
      </c>
      <c r="I3594" s="338" t="s">
        <v>411</v>
      </c>
      <c r="J3594" s="339"/>
      <c r="K3594" s="339"/>
      <c r="L3594" s="339" t="s">
        <v>409</v>
      </c>
      <c r="M3594" s="339" t="s">
        <v>409</v>
      </c>
      <c r="N3594" s="338" t="s">
        <v>417</v>
      </c>
      <c r="O3594" s="338" t="s">
        <v>409</v>
      </c>
      <c r="P3594" s="338" t="s">
        <v>443</v>
      </c>
    </row>
    <row r="3595" spans="2:16" x14ac:dyDescent="0.25">
      <c r="B3595" s="336" t="s">
        <v>416</v>
      </c>
      <c r="C3595" s="337">
        <v>39105</v>
      </c>
      <c r="D3595" s="338" t="s">
        <v>3001</v>
      </c>
      <c r="E3595" s="336" t="s">
        <v>3000</v>
      </c>
      <c r="F3595" s="338"/>
      <c r="G3595" s="338" t="s">
        <v>413</v>
      </c>
      <c r="H3595" s="338" t="s">
        <v>425</v>
      </c>
      <c r="I3595" s="338" t="s">
        <v>411</v>
      </c>
      <c r="J3595" s="339"/>
      <c r="K3595" s="339"/>
      <c r="L3595" s="339" t="s">
        <v>409</v>
      </c>
      <c r="M3595" s="339" t="s">
        <v>409</v>
      </c>
      <c r="N3595" s="338" t="s">
        <v>410</v>
      </c>
      <c r="O3595" s="338" t="s">
        <v>409</v>
      </c>
      <c r="P3595" s="338" t="s">
        <v>443</v>
      </c>
    </row>
    <row r="3596" spans="2:16" x14ac:dyDescent="0.25">
      <c r="B3596" s="336" t="s">
        <v>416</v>
      </c>
      <c r="C3596" s="337">
        <v>39105</v>
      </c>
      <c r="D3596" s="338" t="s">
        <v>2999</v>
      </c>
      <c r="E3596" s="336" t="s">
        <v>1006</v>
      </c>
      <c r="F3596" s="338" t="s">
        <v>2998</v>
      </c>
      <c r="G3596" s="338" t="s">
        <v>413</v>
      </c>
      <c r="H3596" s="338" t="s">
        <v>425</v>
      </c>
      <c r="I3596" s="338" t="s">
        <v>411</v>
      </c>
      <c r="J3596" s="339"/>
      <c r="K3596" s="339"/>
      <c r="L3596" s="339"/>
      <c r="M3596" s="339"/>
      <c r="N3596" s="338"/>
      <c r="O3596" s="338" t="s">
        <v>417</v>
      </c>
      <c r="P3596" s="338" t="s">
        <v>417</v>
      </c>
    </row>
    <row r="3597" spans="2:16" x14ac:dyDescent="0.25">
      <c r="B3597" s="336" t="s">
        <v>416</v>
      </c>
      <c r="C3597" s="337">
        <v>39105</v>
      </c>
      <c r="D3597" s="338" t="s">
        <v>1146</v>
      </c>
      <c r="E3597" s="336" t="s">
        <v>1735</v>
      </c>
      <c r="F3597" s="338"/>
      <c r="G3597" s="338">
        <v>148.53</v>
      </c>
      <c r="H3597" s="338" t="s">
        <v>425</v>
      </c>
      <c r="I3597" s="338" t="s">
        <v>411</v>
      </c>
      <c r="J3597" s="339">
        <v>0.32055600000000001</v>
      </c>
      <c r="K3597" s="339">
        <v>13.7141</v>
      </c>
      <c r="L3597" s="339" t="s">
        <v>409</v>
      </c>
      <c r="M3597" s="339" t="s">
        <v>409</v>
      </c>
      <c r="N3597" s="338" t="s">
        <v>417</v>
      </c>
      <c r="O3597" s="338" t="s">
        <v>409</v>
      </c>
      <c r="P3597" s="338" t="s">
        <v>417</v>
      </c>
    </row>
    <row r="3598" spans="2:16" x14ac:dyDescent="0.25">
      <c r="B3598" s="336" t="s">
        <v>416</v>
      </c>
      <c r="C3598" s="337">
        <v>39105</v>
      </c>
      <c r="D3598" s="338" t="s">
        <v>2997</v>
      </c>
      <c r="E3598" s="336" t="s">
        <v>2996</v>
      </c>
      <c r="F3598" s="338" t="s">
        <v>2995</v>
      </c>
      <c r="G3598" s="338" t="s">
        <v>413</v>
      </c>
      <c r="H3598" s="338" t="s">
        <v>425</v>
      </c>
      <c r="I3598" s="338" t="s">
        <v>411</v>
      </c>
      <c r="J3598" s="339"/>
      <c r="K3598" s="339"/>
      <c r="L3598" s="339"/>
      <c r="M3598" s="339"/>
      <c r="N3598" s="338"/>
      <c r="O3598" s="338" t="s">
        <v>417</v>
      </c>
      <c r="P3598" s="338" t="s">
        <v>443</v>
      </c>
    </row>
    <row r="3599" spans="2:16" x14ac:dyDescent="0.25">
      <c r="B3599" s="336" t="s">
        <v>416</v>
      </c>
      <c r="C3599" s="337">
        <v>39104</v>
      </c>
      <c r="D3599" s="338" t="s">
        <v>2994</v>
      </c>
      <c r="E3599" s="336" t="s">
        <v>2972</v>
      </c>
      <c r="F3599" s="338" t="s">
        <v>2993</v>
      </c>
      <c r="G3599" s="338" t="s">
        <v>413</v>
      </c>
      <c r="H3599" s="338" t="s">
        <v>425</v>
      </c>
      <c r="I3599" s="338" t="s">
        <v>411</v>
      </c>
      <c r="J3599" s="339"/>
      <c r="K3599" s="339"/>
      <c r="L3599" s="339"/>
      <c r="M3599" s="339"/>
      <c r="N3599" s="338"/>
      <c r="O3599" s="338" t="s">
        <v>417</v>
      </c>
      <c r="P3599" s="338" t="s">
        <v>443</v>
      </c>
    </row>
    <row r="3600" spans="2:16" x14ac:dyDescent="0.25">
      <c r="B3600" s="336" t="s">
        <v>416</v>
      </c>
      <c r="C3600" s="337">
        <v>39104</v>
      </c>
      <c r="D3600" s="338" t="s">
        <v>2993</v>
      </c>
      <c r="E3600" s="336" t="s">
        <v>423</v>
      </c>
      <c r="F3600" s="338"/>
      <c r="G3600" s="338" t="s">
        <v>413</v>
      </c>
      <c r="H3600" s="338" t="s">
        <v>425</v>
      </c>
      <c r="I3600" s="338" t="s">
        <v>411</v>
      </c>
      <c r="J3600" s="339"/>
      <c r="K3600" s="339"/>
      <c r="L3600" s="339" t="s">
        <v>409</v>
      </c>
      <c r="M3600" s="339" t="s">
        <v>409</v>
      </c>
      <c r="N3600" s="338" t="s">
        <v>417</v>
      </c>
      <c r="O3600" s="338" t="s">
        <v>409</v>
      </c>
      <c r="P3600" s="338"/>
    </row>
    <row r="3601" spans="2:16" x14ac:dyDescent="0.25">
      <c r="B3601" s="336" t="s">
        <v>416</v>
      </c>
      <c r="C3601" s="337">
        <v>39104</v>
      </c>
      <c r="D3601" s="338" t="s">
        <v>2992</v>
      </c>
      <c r="E3601" s="336" t="s">
        <v>889</v>
      </c>
      <c r="F3601" s="338" t="s">
        <v>2991</v>
      </c>
      <c r="G3601" s="338" t="s">
        <v>413</v>
      </c>
      <c r="H3601" s="338" t="s">
        <v>412</v>
      </c>
      <c r="I3601" s="338" t="s">
        <v>411</v>
      </c>
      <c r="J3601" s="339"/>
      <c r="K3601" s="339"/>
      <c r="L3601" s="339"/>
      <c r="M3601" s="339"/>
      <c r="N3601" s="338" t="s">
        <v>410</v>
      </c>
      <c r="O3601" s="338" t="s">
        <v>443</v>
      </c>
      <c r="P3601" s="338" t="s">
        <v>410</v>
      </c>
    </row>
    <row r="3602" spans="2:16" x14ac:dyDescent="0.25">
      <c r="B3602" s="336" t="s">
        <v>416</v>
      </c>
      <c r="C3602" s="337">
        <v>39101</v>
      </c>
      <c r="D3602" s="338" t="s">
        <v>2990</v>
      </c>
      <c r="E3602" s="336" t="s">
        <v>2989</v>
      </c>
      <c r="F3602" s="338"/>
      <c r="G3602" s="338" t="s">
        <v>413</v>
      </c>
      <c r="H3602" s="338" t="s">
        <v>412</v>
      </c>
      <c r="I3602" s="338" t="s">
        <v>411</v>
      </c>
      <c r="J3602" s="339"/>
      <c r="K3602" s="339"/>
      <c r="L3602" s="339" t="s">
        <v>409</v>
      </c>
      <c r="M3602" s="339" t="s">
        <v>409</v>
      </c>
      <c r="N3602" s="338" t="s">
        <v>410</v>
      </c>
      <c r="O3602" s="338" t="s">
        <v>409</v>
      </c>
      <c r="P3602" s="338" t="s">
        <v>410</v>
      </c>
    </row>
    <row r="3603" spans="2:16" x14ac:dyDescent="0.25">
      <c r="B3603" s="336" t="s">
        <v>416</v>
      </c>
      <c r="C3603" s="337">
        <v>39101</v>
      </c>
      <c r="D3603" s="338" t="s">
        <v>2988</v>
      </c>
      <c r="E3603" s="336" t="s">
        <v>2987</v>
      </c>
      <c r="F3603" s="338"/>
      <c r="G3603" s="338">
        <v>2.0699999999999998</v>
      </c>
      <c r="H3603" s="338" t="s">
        <v>429</v>
      </c>
      <c r="I3603" s="338" t="s">
        <v>411</v>
      </c>
      <c r="J3603" s="339"/>
      <c r="K3603" s="339"/>
      <c r="L3603" s="339" t="s">
        <v>409</v>
      </c>
      <c r="M3603" s="339" t="s">
        <v>409</v>
      </c>
      <c r="N3603" s="338" t="s">
        <v>417</v>
      </c>
      <c r="O3603" s="338" t="s">
        <v>409</v>
      </c>
      <c r="P3603" s="338" t="s">
        <v>417</v>
      </c>
    </row>
    <row r="3604" spans="2:16" x14ac:dyDescent="0.25">
      <c r="B3604" s="336" t="s">
        <v>416</v>
      </c>
      <c r="C3604" s="337">
        <v>39100</v>
      </c>
      <c r="D3604" s="338" t="s">
        <v>2986</v>
      </c>
      <c r="E3604" s="336" t="s">
        <v>2985</v>
      </c>
      <c r="F3604" s="338" t="s">
        <v>2984</v>
      </c>
      <c r="G3604" s="338" t="s">
        <v>413</v>
      </c>
      <c r="H3604" s="338" t="s">
        <v>425</v>
      </c>
      <c r="I3604" s="338" t="s">
        <v>411</v>
      </c>
      <c r="J3604" s="339"/>
      <c r="K3604" s="339"/>
      <c r="L3604" s="339"/>
      <c r="M3604" s="339"/>
      <c r="N3604" s="338" t="s">
        <v>410</v>
      </c>
      <c r="O3604" s="338" t="s">
        <v>410</v>
      </c>
      <c r="P3604" s="338" t="s">
        <v>443</v>
      </c>
    </row>
    <row r="3605" spans="2:16" x14ac:dyDescent="0.25">
      <c r="B3605" s="336" t="s">
        <v>416</v>
      </c>
      <c r="C3605" s="337">
        <v>39100</v>
      </c>
      <c r="D3605" s="338" t="s">
        <v>2983</v>
      </c>
      <c r="E3605" s="336" t="s">
        <v>2170</v>
      </c>
      <c r="F3605" s="338" t="s">
        <v>2982</v>
      </c>
      <c r="G3605" s="338" t="s">
        <v>413</v>
      </c>
      <c r="H3605" s="338" t="s">
        <v>425</v>
      </c>
      <c r="I3605" s="338" t="s">
        <v>411</v>
      </c>
      <c r="J3605" s="339"/>
      <c r="K3605" s="339"/>
      <c r="L3605" s="339"/>
      <c r="M3605" s="339"/>
      <c r="N3605" s="338"/>
      <c r="O3605" s="338" t="s">
        <v>417</v>
      </c>
      <c r="P3605" s="338" t="s">
        <v>432</v>
      </c>
    </row>
    <row r="3606" spans="2:16" x14ac:dyDescent="0.25">
      <c r="B3606" s="336" t="s">
        <v>416</v>
      </c>
      <c r="C3606" s="337">
        <v>39100</v>
      </c>
      <c r="D3606" s="338" t="s">
        <v>2981</v>
      </c>
      <c r="E3606" s="336" t="s">
        <v>2980</v>
      </c>
      <c r="F3606" s="338" t="s">
        <v>2979</v>
      </c>
      <c r="G3606" s="338">
        <v>125</v>
      </c>
      <c r="H3606" s="338" t="s">
        <v>425</v>
      </c>
      <c r="I3606" s="338" t="s">
        <v>411</v>
      </c>
      <c r="J3606" s="339"/>
      <c r="K3606" s="339"/>
      <c r="L3606" s="339"/>
      <c r="M3606" s="339"/>
      <c r="N3606" s="338"/>
      <c r="O3606" s="338" t="s">
        <v>487</v>
      </c>
      <c r="P3606" s="338" t="s">
        <v>410</v>
      </c>
    </row>
    <row r="3607" spans="2:16" x14ac:dyDescent="0.25">
      <c r="B3607" s="336" t="s">
        <v>416</v>
      </c>
      <c r="C3607" s="337">
        <v>39098</v>
      </c>
      <c r="D3607" s="338" t="s">
        <v>2978</v>
      </c>
      <c r="E3607" s="336" t="s">
        <v>2334</v>
      </c>
      <c r="F3607" s="338" t="s">
        <v>720</v>
      </c>
      <c r="G3607" s="338" t="s">
        <v>413</v>
      </c>
      <c r="H3607" s="338" t="s">
        <v>425</v>
      </c>
      <c r="I3607" s="338" t="s">
        <v>411</v>
      </c>
      <c r="J3607" s="339"/>
      <c r="K3607" s="339"/>
      <c r="L3607" s="339">
        <v>0.184003</v>
      </c>
      <c r="M3607" s="339">
        <v>16.8766</v>
      </c>
      <c r="N3607" s="338"/>
      <c r="O3607" s="338" t="s">
        <v>410</v>
      </c>
      <c r="P3607" s="338" t="s">
        <v>417</v>
      </c>
    </row>
    <row r="3608" spans="2:16" x14ac:dyDescent="0.25">
      <c r="B3608" s="336" t="s">
        <v>459</v>
      </c>
      <c r="C3608" s="337">
        <v>39098</v>
      </c>
      <c r="D3608" s="338" t="s">
        <v>2977</v>
      </c>
      <c r="E3608" s="336" t="s">
        <v>1591</v>
      </c>
      <c r="F3608" s="338"/>
      <c r="G3608" s="338" t="s">
        <v>413</v>
      </c>
      <c r="H3608" s="338" t="s">
        <v>412</v>
      </c>
      <c r="I3608" s="338" t="s">
        <v>411</v>
      </c>
      <c r="J3608" s="339"/>
      <c r="K3608" s="339"/>
      <c r="L3608" s="339" t="s">
        <v>409</v>
      </c>
      <c r="M3608" s="339" t="s">
        <v>409</v>
      </c>
      <c r="N3608" s="338" t="s">
        <v>410</v>
      </c>
      <c r="O3608" s="338" t="s">
        <v>409</v>
      </c>
      <c r="P3608" s="338" t="s">
        <v>443</v>
      </c>
    </row>
    <row r="3609" spans="2:16" x14ac:dyDescent="0.25">
      <c r="B3609" s="336" t="s">
        <v>416</v>
      </c>
      <c r="C3609" s="337">
        <v>39094</v>
      </c>
      <c r="D3609" s="338" t="s">
        <v>2976</v>
      </c>
      <c r="E3609" s="336" t="s">
        <v>2975</v>
      </c>
      <c r="F3609" s="338"/>
      <c r="G3609" s="338" t="s">
        <v>413</v>
      </c>
      <c r="H3609" s="338" t="s">
        <v>412</v>
      </c>
      <c r="I3609" s="338" t="s">
        <v>411</v>
      </c>
      <c r="J3609" s="339"/>
      <c r="K3609" s="339"/>
      <c r="L3609" s="339" t="s">
        <v>409</v>
      </c>
      <c r="M3609" s="339" t="s">
        <v>409</v>
      </c>
      <c r="N3609" s="338" t="s">
        <v>417</v>
      </c>
      <c r="O3609" s="338" t="s">
        <v>409</v>
      </c>
      <c r="P3609" s="338" t="s">
        <v>417</v>
      </c>
    </row>
    <row r="3610" spans="2:16" x14ac:dyDescent="0.25">
      <c r="B3610" s="336" t="s">
        <v>416</v>
      </c>
      <c r="C3610" s="337">
        <v>39094</v>
      </c>
      <c r="D3610" s="338" t="s">
        <v>2974</v>
      </c>
      <c r="E3610" s="336" t="s">
        <v>656</v>
      </c>
      <c r="F3610" s="338"/>
      <c r="G3610" s="338" t="s">
        <v>413</v>
      </c>
      <c r="H3610" s="338" t="s">
        <v>412</v>
      </c>
      <c r="I3610" s="338" t="s">
        <v>411</v>
      </c>
      <c r="J3610" s="339"/>
      <c r="K3610" s="339"/>
      <c r="L3610" s="339" t="s">
        <v>409</v>
      </c>
      <c r="M3610" s="339" t="s">
        <v>409</v>
      </c>
      <c r="N3610" s="338"/>
      <c r="O3610" s="338" t="s">
        <v>409</v>
      </c>
      <c r="P3610" s="338" t="s">
        <v>408</v>
      </c>
    </row>
    <row r="3611" spans="2:16" x14ac:dyDescent="0.25">
      <c r="B3611" s="336" t="s">
        <v>416</v>
      </c>
      <c r="C3611" s="337">
        <v>39093</v>
      </c>
      <c r="D3611" s="338" t="s">
        <v>2973</v>
      </c>
      <c r="E3611" s="336" t="s">
        <v>2972</v>
      </c>
      <c r="F3611" s="338" t="s">
        <v>2341</v>
      </c>
      <c r="G3611" s="338">
        <v>312</v>
      </c>
      <c r="H3611" s="338" t="s">
        <v>418</v>
      </c>
      <c r="I3611" s="338" t="s">
        <v>411</v>
      </c>
      <c r="J3611" s="339"/>
      <c r="K3611" s="339"/>
      <c r="L3611" s="339">
        <v>1.59307</v>
      </c>
      <c r="M3611" s="339">
        <v>6.7867499999999996</v>
      </c>
      <c r="N3611" s="338"/>
      <c r="O3611" s="338" t="s">
        <v>417</v>
      </c>
      <c r="P3611" s="338" t="s">
        <v>443</v>
      </c>
    </row>
    <row r="3612" spans="2:16" x14ac:dyDescent="0.25">
      <c r="B3612" s="336" t="s">
        <v>416</v>
      </c>
      <c r="C3612" s="337">
        <v>39093</v>
      </c>
      <c r="D3612" s="338" t="s">
        <v>2971</v>
      </c>
      <c r="E3612" s="336" t="s">
        <v>1926</v>
      </c>
      <c r="F3612" s="338"/>
      <c r="G3612" s="338">
        <v>32.9</v>
      </c>
      <c r="H3612" s="338" t="s">
        <v>425</v>
      </c>
      <c r="I3612" s="338" t="s">
        <v>411</v>
      </c>
      <c r="J3612" s="339"/>
      <c r="K3612" s="339"/>
      <c r="L3612" s="339" t="s">
        <v>409</v>
      </c>
      <c r="M3612" s="339" t="s">
        <v>409</v>
      </c>
      <c r="N3612" s="338" t="s">
        <v>417</v>
      </c>
      <c r="O3612" s="338" t="s">
        <v>409</v>
      </c>
      <c r="P3612" s="338" t="s">
        <v>417</v>
      </c>
    </row>
    <row r="3613" spans="2:16" x14ac:dyDescent="0.25">
      <c r="B3613" s="336" t="s">
        <v>416</v>
      </c>
      <c r="C3613" s="337">
        <v>39093</v>
      </c>
      <c r="D3613" s="338" t="s">
        <v>2970</v>
      </c>
      <c r="E3613" s="336" t="s">
        <v>2969</v>
      </c>
      <c r="F3613" s="338"/>
      <c r="G3613" s="338" t="s">
        <v>413</v>
      </c>
      <c r="H3613" s="338" t="s">
        <v>425</v>
      </c>
      <c r="I3613" s="338" t="s">
        <v>411</v>
      </c>
      <c r="J3613" s="339"/>
      <c r="K3613" s="339"/>
      <c r="L3613" s="339" t="s">
        <v>409</v>
      </c>
      <c r="M3613" s="339" t="s">
        <v>409</v>
      </c>
      <c r="N3613" s="338" t="s">
        <v>410</v>
      </c>
      <c r="O3613" s="338" t="s">
        <v>409</v>
      </c>
      <c r="P3613" s="338" t="s">
        <v>443</v>
      </c>
    </row>
    <row r="3614" spans="2:16" x14ac:dyDescent="0.25">
      <c r="B3614" s="336" t="s">
        <v>459</v>
      </c>
      <c r="C3614" s="337">
        <v>39093</v>
      </c>
      <c r="D3614" s="338" t="s">
        <v>2968</v>
      </c>
      <c r="E3614" s="336" t="s">
        <v>2967</v>
      </c>
      <c r="F3614" s="338"/>
      <c r="G3614" s="338">
        <v>23</v>
      </c>
      <c r="H3614" s="338" t="s">
        <v>425</v>
      </c>
      <c r="I3614" s="338" t="s">
        <v>411</v>
      </c>
      <c r="J3614" s="339"/>
      <c r="K3614" s="339"/>
      <c r="L3614" s="339" t="s">
        <v>409</v>
      </c>
      <c r="M3614" s="339" t="s">
        <v>409</v>
      </c>
      <c r="N3614" s="338" t="s">
        <v>410</v>
      </c>
      <c r="O3614" s="338" t="s">
        <v>409</v>
      </c>
      <c r="P3614" s="338"/>
    </row>
    <row r="3615" spans="2:16" x14ac:dyDescent="0.25">
      <c r="B3615" s="336" t="s">
        <v>416</v>
      </c>
      <c r="C3615" s="337">
        <v>39092</v>
      </c>
      <c r="D3615" s="338" t="s">
        <v>2966</v>
      </c>
      <c r="E3615" s="336" t="s">
        <v>2965</v>
      </c>
      <c r="F3615" s="338"/>
      <c r="G3615" s="338" t="s">
        <v>413</v>
      </c>
      <c r="H3615" s="338" t="s">
        <v>425</v>
      </c>
      <c r="I3615" s="338" t="s">
        <v>411</v>
      </c>
      <c r="J3615" s="339"/>
      <c r="K3615" s="339"/>
      <c r="L3615" s="339" t="s">
        <v>409</v>
      </c>
      <c r="M3615" s="339" t="s">
        <v>409</v>
      </c>
      <c r="N3615" s="338"/>
      <c r="O3615" s="338" t="s">
        <v>409</v>
      </c>
      <c r="P3615" s="338"/>
    </row>
    <row r="3616" spans="2:16" x14ac:dyDescent="0.25">
      <c r="B3616" s="336" t="s">
        <v>416</v>
      </c>
      <c r="C3616" s="337">
        <v>39092</v>
      </c>
      <c r="D3616" s="338" t="s">
        <v>2964</v>
      </c>
      <c r="E3616" s="336" t="s">
        <v>2963</v>
      </c>
      <c r="F3616" s="338"/>
      <c r="G3616" s="338">
        <v>2145.19</v>
      </c>
      <c r="H3616" s="338" t="s">
        <v>425</v>
      </c>
      <c r="I3616" s="338" t="s">
        <v>411</v>
      </c>
      <c r="J3616" s="339">
        <v>1.9442999999999999</v>
      </c>
      <c r="K3616" s="339">
        <v>3.9307300000000001</v>
      </c>
      <c r="L3616" s="339" t="s">
        <v>409</v>
      </c>
      <c r="M3616" s="339" t="s">
        <v>409</v>
      </c>
      <c r="N3616" s="338" t="s">
        <v>417</v>
      </c>
      <c r="O3616" s="338" t="s">
        <v>409</v>
      </c>
      <c r="P3616" s="338"/>
    </row>
    <row r="3617" spans="2:16" x14ac:dyDescent="0.25">
      <c r="B3617" s="336" t="s">
        <v>416</v>
      </c>
      <c r="C3617" s="337">
        <v>39092</v>
      </c>
      <c r="D3617" s="338" t="s">
        <v>956</v>
      </c>
      <c r="E3617" s="336" t="s">
        <v>2962</v>
      </c>
      <c r="F3617" s="338"/>
      <c r="G3617" s="338" t="s">
        <v>413</v>
      </c>
      <c r="H3617" s="338" t="s">
        <v>425</v>
      </c>
      <c r="I3617" s="338" t="s">
        <v>411</v>
      </c>
      <c r="J3617" s="339"/>
      <c r="K3617" s="339"/>
      <c r="L3617" s="339" t="s">
        <v>409</v>
      </c>
      <c r="M3617" s="339" t="s">
        <v>409</v>
      </c>
      <c r="N3617" s="338"/>
      <c r="O3617" s="338" t="s">
        <v>409</v>
      </c>
      <c r="P3617" s="338" t="s">
        <v>417</v>
      </c>
    </row>
    <row r="3618" spans="2:16" x14ac:dyDescent="0.25">
      <c r="B3618" s="336" t="s">
        <v>416</v>
      </c>
      <c r="C3618" s="337">
        <v>39091</v>
      </c>
      <c r="D3618" s="338" t="s">
        <v>2961</v>
      </c>
      <c r="E3618" s="336" t="s">
        <v>669</v>
      </c>
      <c r="F3618" s="338" t="s">
        <v>2218</v>
      </c>
      <c r="G3618" s="338">
        <v>375</v>
      </c>
      <c r="H3618" s="338" t="s">
        <v>425</v>
      </c>
      <c r="I3618" s="338" t="s">
        <v>411</v>
      </c>
      <c r="J3618" s="339"/>
      <c r="K3618" s="339"/>
      <c r="L3618" s="339">
        <v>12.317600000000001</v>
      </c>
      <c r="M3618" s="339">
        <v>21.7895</v>
      </c>
      <c r="N3618" s="338"/>
      <c r="O3618" s="338" t="s">
        <v>443</v>
      </c>
      <c r="P3618" s="338"/>
    </row>
    <row r="3619" spans="2:16" x14ac:dyDescent="0.25">
      <c r="B3619" s="336" t="s">
        <v>416</v>
      </c>
      <c r="C3619" s="337">
        <v>39091</v>
      </c>
      <c r="D3619" s="338" t="s">
        <v>2960</v>
      </c>
      <c r="E3619" s="336" t="s">
        <v>983</v>
      </c>
      <c r="F3619" s="338" t="s">
        <v>2959</v>
      </c>
      <c r="G3619" s="338" t="s">
        <v>413</v>
      </c>
      <c r="H3619" s="338" t="s">
        <v>425</v>
      </c>
      <c r="I3619" s="338" t="s">
        <v>411</v>
      </c>
      <c r="J3619" s="339"/>
      <c r="K3619" s="339"/>
      <c r="L3619" s="339"/>
      <c r="M3619" s="339"/>
      <c r="N3619" s="338"/>
      <c r="O3619" s="338" t="s">
        <v>417</v>
      </c>
      <c r="P3619" s="338" t="s">
        <v>417</v>
      </c>
    </row>
    <row r="3620" spans="2:16" x14ac:dyDescent="0.25">
      <c r="B3620" s="336" t="s">
        <v>416</v>
      </c>
      <c r="C3620" s="337">
        <v>39091</v>
      </c>
      <c r="D3620" s="338" t="s">
        <v>2958</v>
      </c>
      <c r="E3620" s="336" t="s">
        <v>2957</v>
      </c>
      <c r="F3620" s="338"/>
      <c r="G3620" s="338" t="s">
        <v>413</v>
      </c>
      <c r="H3620" s="338" t="s">
        <v>425</v>
      </c>
      <c r="I3620" s="338" t="s">
        <v>411</v>
      </c>
      <c r="J3620" s="339"/>
      <c r="K3620" s="339"/>
      <c r="L3620" s="339" t="s">
        <v>409</v>
      </c>
      <c r="M3620" s="339" t="s">
        <v>409</v>
      </c>
      <c r="N3620" s="338" t="s">
        <v>417</v>
      </c>
      <c r="O3620" s="338" t="s">
        <v>409</v>
      </c>
      <c r="P3620" s="338" t="s">
        <v>432</v>
      </c>
    </row>
    <row r="3621" spans="2:16" x14ac:dyDescent="0.25">
      <c r="B3621" s="336" t="s">
        <v>416</v>
      </c>
      <c r="C3621" s="337">
        <v>39091</v>
      </c>
      <c r="D3621" s="338" t="s">
        <v>2956</v>
      </c>
      <c r="E3621" s="336" t="s">
        <v>2218</v>
      </c>
      <c r="F3621" s="338"/>
      <c r="G3621" s="338">
        <v>241</v>
      </c>
      <c r="H3621" s="338" t="s">
        <v>425</v>
      </c>
      <c r="I3621" s="338" t="s">
        <v>411</v>
      </c>
      <c r="J3621" s="339"/>
      <c r="K3621" s="339"/>
      <c r="L3621" s="339" t="s">
        <v>409</v>
      </c>
      <c r="M3621" s="339" t="s">
        <v>409</v>
      </c>
      <c r="N3621" s="338"/>
      <c r="O3621" s="338" t="s">
        <v>409</v>
      </c>
      <c r="P3621" s="338" t="s">
        <v>443</v>
      </c>
    </row>
    <row r="3622" spans="2:16" x14ac:dyDescent="0.25">
      <c r="B3622" s="336" t="s">
        <v>416</v>
      </c>
      <c r="C3622" s="337">
        <v>39091</v>
      </c>
      <c r="D3622" s="338" t="s">
        <v>2955</v>
      </c>
      <c r="E3622" s="336" t="s">
        <v>983</v>
      </c>
      <c r="F3622" s="338"/>
      <c r="G3622" s="338" t="s">
        <v>413</v>
      </c>
      <c r="H3622" s="338" t="s">
        <v>412</v>
      </c>
      <c r="I3622" s="338" t="s">
        <v>411</v>
      </c>
      <c r="J3622" s="339"/>
      <c r="K3622" s="339"/>
      <c r="L3622" s="339" t="s">
        <v>409</v>
      </c>
      <c r="M3622" s="339" t="s">
        <v>409</v>
      </c>
      <c r="N3622" s="338" t="s">
        <v>417</v>
      </c>
      <c r="O3622" s="338" t="s">
        <v>409</v>
      </c>
      <c r="P3622" s="338" t="s">
        <v>417</v>
      </c>
    </row>
    <row r="3623" spans="2:16" x14ac:dyDescent="0.25">
      <c r="B3623" s="336" t="s">
        <v>416</v>
      </c>
      <c r="C3623" s="337">
        <v>39091</v>
      </c>
      <c r="D3623" s="338" t="s">
        <v>2954</v>
      </c>
      <c r="E3623" s="336" t="s">
        <v>438</v>
      </c>
      <c r="F3623" s="338"/>
      <c r="G3623" s="338">
        <v>10</v>
      </c>
      <c r="H3623" s="338" t="s">
        <v>425</v>
      </c>
      <c r="I3623" s="338" t="s">
        <v>411</v>
      </c>
      <c r="J3623" s="339"/>
      <c r="K3623" s="339"/>
      <c r="L3623" s="339" t="s">
        <v>409</v>
      </c>
      <c r="M3623" s="339" t="s">
        <v>409</v>
      </c>
      <c r="N3623" s="338" t="s">
        <v>417</v>
      </c>
      <c r="O3623" s="338" t="s">
        <v>409</v>
      </c>
      <c r="P3623" s="338" t="s">
        <v>417</v>
      </c>
    </row>
    <row r="3624" spans="2:16" x14ac:dyDescent="0.25">
      <c r="B3624" s="336" t="s">
        <v>416</v>
      </c>
      <c r="C3624" s="337">
        <v>39091</v>
      </c>
      <c r="D3624" s="338" t="s">
        <v>2953</v>
      </c>
      <c r="E3624" s="336" t="s">
        <v>2952</v>
      </c>
      <c r="F3624" s="338" t="s">
        <v>1032</v>
      </c>
      <c r="G3624" s="338" t="s">
        <v>413</v>
      </c>
      <c r="H3624" s="338" t="s">
        <v>425</v>
      </c>
      <c r="I3624" s="338" t="s">
        <v>411</v>
      </c>
      <c r="J3624" s="339"/>
      <c r="K3624" s="339"/>
      <c r="L3624" s="339">
        <v>2.6935500000000001</v>
      </c>
      <c r="M3624" s="339">
        <v>12.8904</v>
      </c>
      <c r="N3624" s="338"/>
      <c r="O3624" s="338" t="s">
        <v>417</v>
      </c>
      <c r="P3624" s="338" t="s">
        <v>417</v>
      </c>
    </row>
    <row r="3625" spans="2:16" x14ac:dyDescent="0.25">
      <c r="B3625" s="336" t="s">
        <v>416</v>
      </c>
      <c r="C3625" s="337">
        <v>39090</v>
      </c>
      <c r="D3625" s="338" t="s">
        <v>2951</v>
      </c>
      <c r="E3625" s="336" t="s">
        <v>2950</v>
      </c>
      <c r="F3625" s="338"/>
      <c r="G3625" s="338" t="s">
        <v>413</v>
      </c>
      <c r="H3625" s="338" t="s">
        <v>425</v>
      </c>
      <c r="I3625" s="338" t="s">
        <v>411</v>
      </c>
      <c r="J3625" s="339"/>
      <c r="K3625" s="339"/>
      <c r="L3625" s="339" t="s">
        <v>409</v>
      </c>
      <c r="M3625" s="339" t="s">
        <v>409</v>
      </c>
      <c r="N3625" s="338" t="s">
        <v>417</v>
      </c>
      <c r="O3625" s="338" t="s">
        <v>409</v>
      </c>
      <c r="P3625" s="338" t="s">
        <v>443</v>
      </c>
    </row>
    <row r="3626" spans="2:16" x14ac:dyDescent="0.25">
      <c r="B3626" s="336" t="s">
        <v>416</v>
      </c>
      <c r="C3626" s="337">
        <v>39090</v>
      </c>
      <c r="D3626" s="338" t="s">
        <v>2951</v>
      </c>
      <c r="E3626" s="336" t="s">
        <v>2950</v>
      </c>
      <c r="F3626" s="338" t="s">
        <v>2949</v>
      </c>
      <c r="G3626" s="338" t="s">
        <v>413</v>
      </c>
      <c r="H3626" s="338" t="s">
        <v>425</v>
      </c>
      <c r="I3626" s="338" t="s">
        <v>411</v>
      </c>
      <c r="J3626" s="339"/>
      <c r="K3626" s="339"/>
      <c r="L3626" s="339"/>
      <c r="M3626" s="339"/>
      <c r="N3626" s="338" t="s">
        <v>417</v>
      </c>
      <c r="O3626" s="338" t="s">
        <v>443</v>
      </c>
      <c r="P3626" s="338" t="s">
        <v>443</v>
      </c>
    </row>
    <row r="3627" spans="2:16" x14ac:dyDescent="0.25">
      <c r="B3627" s="336" t="s">
        <v>416</v>
      </c>
      <c r="C3627" s="337">
        <v>39090</v>
      </c>
      <c r="D3627" s="338" t="s">
        <v>2948</v>
      </c>
      <c r="E3627" s="336" t="s">
        <v>2947</v>
      </c>
      <c r="F3627" s="338" t="s">
        <v>2012</v>
      </c>
      <c r="G3627" s="338" t="s">
        <v>413</v>
      </c>
      <c r="H3627" s="338" t="s">
        <v>425</v>
      </c>
      <c r="I3627" s="338" t="s">
        <v>411</v>
      </c>
      <c r="J3627" s="339"/>
      <c r="K3627" s="339"/>
      <c r="L3627" s="339">
        <v>0.26979999999999998</v>
      </c>
      <c r="M3627" s="339"/>
      <c r="N3627" s="338"/>
      <c r="O3627" s="338" t="s">
        <v>410</v>
      </c>
      <c r="P3627" s="338" t="s">
        <v>443</v>
      </c>
    </row>
    <row r="3628" spans="2:16" x14ac:dyDescent="0.25">
      <c r="B3628" s="336" t="s">
        <v>416</v>
      </c>
      <c r="C3628" s="337">
        <v>39090</v>
      </c>
      <c r="D3628" s="338" t="s">
        <v>2946</v>
      </c>
      <c r="E3628" s="336" t="s">
        <v>2945</v>
      </c>
      <c r="F3628" s="338" t="s">
        <v>2944</v>
      </c>
      <c r="G3628" s="338">
        <v>33</v>
      </c>
      <c r="H3628" s="338" t="s">
        <v>425</v>
      </c>
      <c r="I3628" s="338" t="s">
        <v>411</v>
      </c>
      <c r="J3628" s="339"/>
      <c r="K3628" s="339"/>
      <c r="L3628" s="339"/>
      <c r="M3628" s="339"/>
      <c r="N3628" s="338" t="s">
        <v>417</v>
      </c>
      <c r="O3628" s="338" t="s">
        <v>543</v>
      </c>
      <c r="P3628" s="338" t="s">
        <v>443</v>
      </c>
    </row>
    <row r="3629" spans="2:16" x14ac:dyDescent="0.25">
      <c r="B3629" s="336" t="s">
        <v>416</v>
      </c>
      <c r="C3629" s="337">
        <v>39090</v>
      </c>
      <c r="D3629" s="338" t="s">
        <v>2943</v>
      </c>
      <c r="E3629" s="336" t="s">
        <v>2942</v>
      </c>
      <c r="F3629" s="338" t="s">
        <v>2941</v>
      </c>
      <c r="G3629" s="338" t="s">
        <v>413</v>
      </c>
      <c r="H3629" s="338" t="s">
        <v>425</v>
      </c>
      <c r="I3629" s="338" t="s">
        <v>411</v>
      </c>
      <c r="J3629" s="339"/>
      <c r="K3629" s="339"/>
      <c r="L3629" s="339"/>
      <c r="M3629" s="339"/>
      <c r="N3629" s="338"/>
      <c r="O3629" s="338" t="s">
        <v>417</v>
      </c>
      <c r="P3629" s="338" t="s">
        <v>885</v>
      </c>
    </row>
    <row r="3630" spans="2:16" x14ac:dyDescent="0.25">
      <c r="B3630" s="336" t="s">
        <v>416</v>
      </c>
      <c r="C3630" s="337">
        <v>39087</v>
      </c>
      <c r="D3630" s="338" t="s">
        <v>2940</v>
      </c>
      <c r="E3630" s="336" t="s">
        <v>540</v>
      </c>
      <c r="F3630" s="338" t="s">
        <v>2939</v>
      </c>
      <c r="G3630" s="338" t="s">
        <v>413</v>
      </c>
      <c r="H3630" s="338" t="s">
        <v>425</v>
      </c>
      <c r="I3630" s="338" t="s">
        <v>411</v>
      </c>
      <c r="J3630" s="339"/>
      <c r="K3630" s="339"/>
      <c r="L3630" s="339"/>
      <c r="M3630" s="339"/>
      <c r="N3630" s="338"/>
      <c r="O3630" s="338" t="s">
        <v>417</v>
      </c>
      <c r="P3630" s="338" t="s">
        <v>417</v>
      </c>
    </row>
    <row r="3631" spans="2:16" x14ac:dyDescent="0.25">
      <c r="B3631" s="336" t="s">
        <v>416</v>
      </c>
      <c r="C3631" s="337">
        <v>39086</v>
      </c>
      <c r="D3631" s="338" t="s">
        <v>2938</v>
      </c>
      <c r="E3631" s="336" t="s">
        <v>438</v>
      </c>
      <c r="F3631" s="338"/>
      <c r="G3631" s="338">
        <v>0.3</v>
      </c>
      <c r="H3631" s="338" t="s">
        <v>425</v>
      </c>
      <c r="I3631" s="338" t="s">
        <v>411</v>
      </c>
      <c r="J3631" s="339"/>
      <c r="K3631" s="339"/>
      <c r="L3631" s="339" t="s">
        <v>409</v>
      </c>
      <c r="M3631" s="339" t="s">
        <v>409</v>
      </c>
      <c r="N3631" s="338" t="s">
        <v>417</v>
      </c>
      <c r="O3631" s="338" t="s">
        <v>409</v>
      </c>
      <c r="P3631" s="338" t="s">
        <v>417</v>
      </c>
    </row>
    <row r="3632" spans="2:16" x14ac:dyDescent="0.25">
      <c r="B3632" s="336" t="s">
        <v>416</v>
      </c>
      <c r="C3632" s="337">
        <v>39086</v>
      </c>
      <c r="D3632" s="338" t="s">
        <v>2937</v>
      </c>
      <c r="E3632" s="336" t="s">
        <v>2669</v>
      </c>
      <c r="F3632" s="338"/>
      <c r="G3632" s="338">
        <v>8.4499999999999993</v>
      </c>
      <c r="H3632" s="338" t="s">
        <v>780</v>
      </c>
      <c r="I3632" s="338" t="s">
        <v>411</v>
      </c>
      <c r="J3632" s="339"/>
      <c r="K3632" s="339"/>
      <c r="L3632" s="339" t="s">
        <v>409</v>
      </c>
      <c r="M3632" s="339" t="s">
        <v>409</v>
      </c>
      <c r="N3632" s="338" t="s">
        <v>417</v>
      </c>
      <c r="O3632" s="338" t="s">
        <v>409</v>
      </c>
      <c r="P3632" s="338" t="s">
        <v>417</v>
      </c>
    </row>
    <row r="3633" spans="2:16" x14ac:dyDescent="0.25">
      <c r="B3633" s="336" t="s">
        <v>416</v>
      </c>
      <c r="C3633" s="337">
        <v>39086</v>
      </c>
      <c r="D3633" s="338" t="s">
        <v>2936</v>
      </c>
      <c r="E3633" s="336" t="s">
        <v>1026</v>
      </c>
      <c r="F3633" s="338"/>
      <c r="G3633" s="338">
        <v>32</v>
      </c>
      <c r="H3633" s="338" t="s">
        <v>425</v>
      </c>
      <c r="I3633" s="338" t="s">
        <v>411</v>
      </c>
      <c r="J3633" s="339"/>
      <c r="K3633" s="339"/>
      <c r="L3633" s="339" t="s">
        <v>409</v>
      </c>
      <c r="M3633" s="339" t="s">
        <v>409</v>
      </c>
      <c r="N3633" s="338"/>
      <c r="O3633" s="338" t="s">
        <v>409</v>
      </c>
      <c r="P3633" s="338" t="s">
        <v>443</v>
      </c>
    </row>
    <row r="3634" spans="2:16" x14ac:dyDescent="0.25">
      <c r="B3634" s="336" t="s">
        <v>416</v>
      </c>
      <c r="C3634" s="337">
        <v>39086</v>
      </c>
      <c r="D3634" s="338" t="s">
        <v>2935</v>
      </c>
      <c r="E3634" s="336" t="s">
        <v>829</v>
      </c>
      <c r="F3634" s="338" t="s">
        <v>1476</v>
      </c>
      <c r="G3634" s="338">
        <v>155</v>
      </c>
      <c r="H3634" s="338" t="s">
        <v>425</v>
      </c>
      <c r="I3634" s="338" t="s">
        <v>411</v>
      </c>
      <c r="J3634" s="339"/>
      <c r="K3634" s="339"/>
      <c r="L3634" s="339">
        <v>1.35023</v>
      </c>
      <c r="M3634" s="339">
        <v>9.3802500000000002</v>
      </c>
      <c r="N3634" s="338" t="s">
        <v>417</v>
      </c>
      <c r="O3634" s="338" t="s">
        <v>417</v>
      </c>
      <c r="P3634" s="338" t="s">
        <v>443</v>
      </c>
    </row>
    <row r="3635" spans="2:16" x14ac:dyDescent="0.25">
      <c r="B3635" s="336" t="s">
        <v>416</v>
      </c>
      <c r="C3635" s="337">
        <v>39085</v>
      </c>
      <c r="D3635" s="338" t="s">
        <v>2934</v>
      </c>
      <c r="E3635" s="336" t="s">
        <v>1281</v>
      </c>
      <c r="F3635" s="338"/>
      <c r="G3635" s="338">
        <v>43.5</v>
      </c>
      <c r="H3635" s="338" t="s">
        <v>425</v>
      </c>
      <c r="I3635" s="338" t="s">
        <v>411</v>
      </c>
      <c r="J3635" s="339"/>
      <c r="K3635" s="339"/>
      <c r="L3635" s="339" t="s">
        <v>409</v>
      </c>
      <c r="M3635" s="339" t="s">
        <v>409</v>
      </c>
      <c r="N3635" s="338" t="s">
        <v>605</v>
      </c>
      <c r="O3635" s="338" t="s">
        <v>409</v>
      </c>
      <c r="P3635" s="338" t="s">
        <v>605</v>
      </c>
    </row>
    <row r="3636" spans="2:16" x14ac:dyDescent="0.25">
      <c r="B3636" s="336" t="s">
        <v>416</v>
      </c>
      <c r="C3636" s="337">
        <v>39085</v>
      </c>
      <c r="D3636" s="338" t="s">
        <v>2933</v>
      </c>
      <c r="E3636" s="336" t="s">
        <v>2932</v>
      </c>
      <c r="F3636" s="338" t="s">
        <v>2931</v>
      </c>
      <c r="G3636" s="338" t="s">
        <v>413</v>
      </c>
      <c r="H3636" s="338" t="s">
        <v>425</v>
      </c>
      <c r="I3636" s="338" t="s">
        <v>411</v>
      </c>
      <c r="J3636" s="339"/>
      <c r="K3636" s="339"/>
      <c r="L3636" s="339"/>
      <c r="M3636" s="339"/>
      <c r="N3636" s="338"/>
      <c r="O3636" s="338"/>
      <c r="P3636" s="338"/>
    </row>
    <row r="3637" spans="2:16" x14ac:dyDescent="0.25">
      <c r="B3637" s="336" t="s">
        <v>459</v>
      </c>
      <c r="C3637" s="337">
        <v>39085</v>
      </c>
      <c r="D3637" s="338" t="s">
        <v>2930</v>
      </c>
      <c r="E3637" s="336" t="s">
        <v>2929</v>
      </c>
      <c r="F3637" s="338"/>
      <c r="G3637" s="338" t="s">
        <v>413</v>
      </c>
      <c r="H3637" s="338" t="s">
        <v>429</v>
      </c>
      <c r="I3637" s="338" t="s">
        <v>411</v>
      </c>
      <c r="J3637" s="339"/>
      <c r="K3637" s="339"/>
      <c r="L3637" s="339" t="s">
        <v>409</v>
      </c>
      <c r="M3637" s="339" t="s">
        <v>409</v>
      </c>
      <c r="N3637" s="338" t="s">
        <v>417</v>
      </c>
      <c r="O3637" s="338" t="s">
        <v>409</v>
      </c>
      <c r="P3637" s="338" t="s">
        <v>487</v>
      </c>
    </row>
    <row r="3638" spans="2:16" x14ac:dyDescent="0.25">
      <c r="B3638" s="336" t="s">
        <v>416</v>
      </c>
      <c r="C3638" s="337">
        <v>39085</v>
      </c>
      <c r="D3638" s="338" t="s">
        <v>2928</v>
      </c>
      <c r="E3638" s="336" t="s">
        <v>1322</v>
      </c>
      <c r="F3638" s="338"/>
      <c r="G3638" s="338" t="s">
        <v>413</v>
      </c>
      <c r="H3638" s="338" t="s">
        <v>412</v>
      </c>
      <c r="I3638" s="338" t="s">
        <v>411</v>
      </c>
      <c r="J3638" s="339"/>
      <c r="K3638" s="339"/>
      <c r="L3638" s="339" t="s">
        <v>409</v>
      </c>
      <c r="M3638" s="339" t="s">
        <v>409</v>
      </c>
      <c r="N3638" s="338" t="s">
        <v>417</v>
      </c>
      <c r="O3638" s="338" t="s">
        <v>409</v>
      </c>
      <c r="P3638" s="338" t="s">
        <v>417</v>
      </c>
    </row>
    <row r="3639" spans="2:16" x14ac:dyDescent="0.25">
      <c r="B3639" s="336" t="s">
        <v>416</v>
      </c>
      <c r="C3639" s="337">
        <v>39085</v>
      </c>
      <c r="D3639" s="338" t="s">
        <v>2927</v>
      </c>
      <c r="E3639" s="336" t="s">
        <v>1322</v>
      </c>
      <c r="F3639" s="338"/>
      <c r="G3639" s="338" t="s">
        <v>413</v>
      </c>
      <c r="H3639" s="338" t="s">
        <v>412</v>
      </c>
      <c r="I3639" s="338" t="s">
        <v>411</v>
      </c>
      <c r="J3639" s="339"/>
      <c r="K3639" s="339"/>
      <c r="L3639" s="339" t="s">
        <v>409</v>
      </c>
      <c r="M3639" s="339" t="s">
        <v>409</v>
      </c>
      <c r="N3639" s="338" t="s">
        <v>487</v>
      </c>
      <c r="O3639" s="338" t="s">
        <v>409</v>
      </c>
      <c r="P3639" s="338" t="s">
        <v>417</v>
      </c>
    </row>
    <row r="3640" spans="2:16" x14ac:dyDescent="0.25">
      <c r="B3640" s="336" t="s">
        <v>416</v>
      </c>
      <c r="C3640" s="337">
        <v>39084</v>
      </c>
      <c r="D3640" s="338" t="s">
        <v>2926</v>
      </c>
      <c r="E3640" s="336" t="s">
        <v>2925</v>
      </c>
      <c r="F3640" s="338" t="s">
        <v>2532</v>
      </c>
      <c r="G3640" s="338" t="s">
        <v>413</v>
      </c>
      <c r="H3640" s="338" t="s">
        <v>425</v>
      </c>
      <c r="I3640" s="338" t="s">
        <v>411</v>
      </c>
      <c r="J3640" s="339"/>
      <c r="K3640" s="339"/>
      <c r="L3640" s="339"/>
      <c r="M3640" s="339"/>
      <c r="N3640" s="338"/>
      <c r="O3640" s="338" t="s">
        <v>443</v>
      </c>
      <c r="P3640" s="338" t="s">
        <v>410</v>
      </c>
    </row>
    <row r="3641" spans="2:16" x14ac:dyDescent="0.25">
      <c r="B3641" s="336" t="s">
        <v>416</v>
      </c>
      <c r="C3641" s="337">
        <v>39084</v>
      </c>
      <c r="D3641" s="338" t="s">
        <v>2924</v>
      </c>
      <c r="E3641" s="336" t="s">
        <v>2923</v>
      </c>
      <c r="F3641" s="338" t="s">
        <v>1322</v>
      </c>
      <c r="G3641" s="338" t="s">
        <v>413</v>
      </c>
      <c r="H3641" s="338" t="s">
        <v>425</v>
      </c>
      <c r="I3641" s="338" t="s">
        <v>411</v>
      </c>
      <c r="J3641" s="339"/>
      <c r="K3641" s="339"/>
      <c r="L3641" s="339">
        <v>1.5087999999999999</v>
      </c>
      <c r="M3641" s="339">
        <v>13.225099999999999</v>
      </c>
      <c r="N3641" s="338"/>
      <c r="O3641" s="338" t="s">
        <v>417</v>
      </c>
      <c r="P3641" s="338" t="s">
        <v>482</v>
      </c>
    </row>
    <row r="3642" spans="2:16" x14ac:dyDescent="0.25">
      <c r="B3642" s="336" t="s">
        <v>416</v>
      </c>
      <c r="C3642" s="337">
        <v>39083</v>
      </c>
      <c r="D3642" s="338" t="s">
        <v>2922</v>
      </c>
      <c r="E3642" s="336" t="s">
        <v>2921</v>
      </c>
      <c r="F3642" s="338"/>
      <c r="G3642" s="338" t="s">
        <v>413</v>
      </c>
      <c r="H3642" s="338" t="s">
        <v>425</v>
      </c>
      <c r="I3642" s="338" t="s">
        <v>411</v>
      </c>
      <c r="J3642" s="339"/>
      <c r="K3642" s="339"/>
      <c r="L3642" s="339" t="s">
        <v>409</v>
      </c>
      <c r="M3642" s="339" t="s">
        <v>409</v>
      </c>
      <c r="N3642" s="338" t="s">
        <v>612</v>
      </c>
      <c r="O3642" s="338" t="s">
        <v>409</v>
      </c>
      <c r="P3642" s="338" t="s">
        <v>443</v>
      </c>
    </row>
    <row r="3643" spans="2:16" x14ac:dyDescent="0.25">
      <c r="B3643" s="336" t="s">
        <v>459</v>
      </c>
      <c r="C3643" s="337">
        <v>39082</v>
      </c>
      <c r="D3643" s="338" t="s">
        <v>2626</v>
      </c>
      <c r="E3643" s="336" t="s">
        <v>716</v>
      </c>
      <c r="F3643" s="338"/>
      <c r="G3643" s="338" t="s">
        <v>413</v>
      </c>
      <c r="H3643" s="338" t="s">
        <v>412</v>
      </c>
      <c r="I3643" s="338" t="s">
        <v>411</v>
      </c>
      <c r="J3643" s="339"/>
      <c r="K3643" s="339"/>
      <c r="L3643" s="339" t="s">
        <v>409</v>
      </c>
      <c r="M3643" s="339" t="s">
        <v>409</v>
      </c>
      <c r="N3643" s="338" t="s">
        <v>417</v>
      </c>
      <c r="O3643" s="338" t="s">
        <v>409</v>
      </c>
      <c r="P3643" s="338" t="s">
        <v>443</v>
      </c>
    </row>
    <row r="3644" spans="2:16" x14ac:dyDescent="0.25">
      <c r="B3644" s="336" t="s">
        <v>416</v>
      </c>
      <c r="C3644" s="337">
        <v>39082</v>
      </c>
      <c r="D3644" s="338" t="s">
        <v>2920</v>
      </c>
      <c r="E3644" s="336" t="s">
        <v>2919</v>
      </c>
      <c r="F3644" s="338"/>
      <c r="G3644" s="338" t="s">
        <v>413</v>
      </c>
      <c r="H3644" s="338" t="s">
        <v>425</v>
      </c>
      <c r="I3644" s="338" t="s">
        <v>411</v>
      </c>
      <c r="J3644" s="339"/>
      <c r="K3644" s="339"/>
      <c r="L3644" s="339" t="s">
        <v>409</v>
      </c>
      <c r="M3644" s="339" t="s">
        <v>409</v>
      </c>
      <c r="N3644" s="338"/>
      <c r="O3644" s="338" t="s">
        <v>409</v>
      </c>
      <c r="P3644" s="338" t="s">
        <v>417</v>
      </c>
    </row>
    <row r="3645" spans="2:16" x14ac:dyDescent="0.25">
      <c r="B3645" s="336" t="s">
        <v>416</v>
      </c>
      <c r="C3645" s="337">
        <v>39082</v>
      </c>
      <c r="D3645" s="338" t="s">
        <v>956</v>
      </c>
      <c r="E3645" s="336" t="s">
        <v>2918</v>
      </c>
      <c r="F3645" s="338" t="s">
        <v>2917</v>
      </c>
      <c r="G3645" s="338">
        <v>1.3</v>
      </c>
      <c r="H3645" s="338" t="s">
        <v>425</v>
      </c>
      <c r="I3645" s="338" t="s">
        <v>411</v>
      </c>
      <c r="J3645" s="339"/>
      <c r="K3645" s="339"/>
      <c r="L3645" s="339"/>
      <c r="M3645" s="339"/>
      <c r="N3645" s="338"/>
      <c r="O3645" s="338" t="s">
        <v>417</v>
      </c>
      <c r="P3645" s="338" t="s">
        <v>417</v>
      </c>
    </row>
    <row r="3646" spans="2:16" x14ac:dyDescent="0.25">
      <c r="B3646" s="336" t="s">
        <v>416</v>
      </c>
      <c r="C3646" s="337">
        <v>39082</v>
      </c>
      <c r="D3646" s="338" t="s">
        <v>2916</v>
      </c>
      <c r="E3646" s="336" t="s">
        <v>438</v>
      </c>
      <c r="F3646" s="338"/>
      <c r="G3646" s="338" t="s">
        <v>413</v>
      </c>
      <c r="H3646" s="338" t="s">
        <v>412</v>
      </c>
      <c r="I3646" s="338" t="s">
        <v>411</v>
      </c>
      <c r="J3646" s="339"/>
      <c r="K3646" s="339"/>
      <c r="L3646" s="339" t="s">
        <v>409</v>
      </c>
      <c r="M3646" s="339" t="s">
        <v>409</v>
      </c>
      <c r="N3646" s="338" t="s">
        <v>417</v>
      </c>
      <c r="O3646" s="338" t="s">
        <v>409</v>
      </c>
      <c r="P3646" s="338" t="s">
        <v>417</v>
      </c>
    </row>
    <row r="3647" spans="2:16" x14ac:dyDescent="0.25">
      <c r="B3647" s="336" t="s">
        <v>416</v>
      </c>
      <c r="C3647" s="337">
        <v>39081</v>
      </c>
      <c r="D3647" s="338" t="s">
        <v>2915</v>
      </c>
      <c r="E3647" s="336" t="s">
        <v>2914</v>
      </c>
      <c r="F3647" s="338"/>
      <c r="G3647" s="338" t="s">
        <v>413</v>
      </c>
      <c r="H3647" s="338" t="s">
        <v>425</v>
      </c>
      <c r="I3647" s="338" t="s">
        <v>411</v>
      </c>
      <c r="J3647" s="339">
        <v>0.236289</v>
      </c>
      <c r="K3647" s="339">
        <v>8.3464600000000004</v>
      </c>
      <c r="L3647" s="339" t="s">
        <v>409</v>
      </c>
      <c r="M3647" s="339" t="s">
        <v>409</v>
      </c>
      <c r="N3647" s="338" t="s">
        <v>417</v>
      </c>
      <c r="O3647" s="338" t="s">
        <v>409</v>
      </c>
      <c r="P3647" s="338" t="s">
        <v>443</v>
      </c>
    </row>
    <row r="3648" spans="2:16" x14ac:dyDescent="0.25">
      <c r="B3648" s="336" t="s">
        <v>459</v>
      </c>
      <c r="C3648" s="337">
        <v>39080</v>
      </c>
      <c r="D3648" s="338" t="s">
        <v>444</v>
      </c>
      <c r="E3648" s="336" t="s">
        <v>444</v>
      </c>
      <c r="F3648" s="338" t="s">
        <v>2913</v>
      </c>
      <c r="G3648" s="338">
        <v>37.06</v>
      </c>
      <c r="H3648" s="338" t="s">
        <v>425</v>
      </c>
      <c r="I3648" s="338" t="s">
        <v>411</v>
      </c>
      <c r="J3648" s="339"/>
      <c r="K3648" s="339"/>
      <c r="L3648" s="339"/>
      <c r="M3648" s="339"/>
      <c r="N3648" s="338" t="s">
        <v>417</v>
      </c>
      <c r="O3648" s="338" t="s">
        <v>443</v>
      </c>
      <c r="P3648" s="338" t="s">
        <v>417</v>
      </c>
    </row>
    <row r="3649" spans="2:16" x14ac:dyDescent="0.25">
      <c r="B3649" s="336" t="s">
        <v>416</v>
      </c>
      <c r="C3649" s="337">
        <v>39080</v>
      </c>
      <c r="D3649" s="338" t="s">
        <v>2912</v>
      </c>
      <c r="E3649" s="336" t="s">
        <v>1906</v>
      </c>
      <c r="F3649" s="338"/>
      <c r="G3649" s="338">
        <v>9.5</v>
      </c>
      <c r="H3649" s="338" t="s">
        <v>429</v>
      </c>
      <c r="I3649" s="338" t="s">
        <v>411</v>
      </c>
      <c r="J3649" s="339"/>
      <c r="K3649" s="339"/>
      <c r="L3649" s="339" t="s">
        <v>409</v>
      </c>
      <c r="M3649" s="339" t="s">
        <v>409</v>
      </c>
      <c r="N3649" s="338"/>
      <c r="O3649" s="338" t="s">
        <v>409</v>
      </c>
      <c r="P3649" s="338" t="s">
        <v>417</v>
      </c>
    </row>
    <row r="3650" spans="2:16" x14ac:dyDescent="0.25">
      <c r="B3650" s="336" t="s">
        <v>416</v>
      </c>
      <c r="C3650" s="337">
        <v>39078</v>
      </c>
      <c r="D3650" s="338" t="s">
        <v>2911</v>
      </c>
      <c r="E3650" s="336" t="s">
        <v>441</v>
      </c>
      <c r="F3650" s="338" t="s">
        <v>2910</v>
      </c>
      <c r="G3650" s="338" t="s">
        <v>413</v>
      </c>
      <c r="H3650" s="338" t="s">
        <v>425</v>
      </c>
      <c r="I3650" s="338" t="s">
        <v>411</v>
      </c>
      <c r="J3650" s="339"/>
      <c r="K3650" s="339"/>
      <c r="L3650" s="339"/>
      <c r="M3650" s="339"/>
      <c r="N3650" s="338"/>
      <c r="O3650" s="338" t="s">
        <v>417</v>
      </c>
      <c r="P3650" s="338" t="s">
        <v>417</v>
      </c>
    </row>
    <row r="3651" spans="2:16" x14ac:dyDescent="0.25">
      <c r="B3651" s="336" t="s">
        <v>416</v>
      </c>
      <c r="C3651" s="337">
        <v>39078</v>
      </c>
      <c r="D3651" s="338" t="s">
        <v>2909</v>
      </c>
      <c r="E3651" s="336" t="s">
        <v>2908</v>
      </c>
      <c r="F3651" s="338" t="s">
        <v>2907</v>
      </c>
      <c r="G3651" s="338">
        <v>2.5</v>
      </c>
      <c r="H3651" s="338" t="s">
        <v>425</v>
      </c>
      <c r="I3651" s="338" t="s">
        <v>411</v>
      </c>
      <c r="J3651" s="339"/>
      <c r="K3651" s="339"/>
      <c r="L3651" s="339"/>
      <c r="M3651" s="339"/>
      <c r="N3651" s="338"/>
      <c r="O3651" s="338" t="s">
        <v>417</v>
      </c>
      <c r="P3651" s="338" t="s">
        <v>417</v>
      </c>
    </row>
    <row r="3652" spans="2:16" x14ac:dyDescent="0.25">
      <c r="B3652" s="336" t="s">
        <v>416</v>
      </c>
      <c r="C3652" s="337">
        <v>39077</v>
      </c>
      <c r="D3652" s="338" t="s">
        <v>2906</v>
      </c>
      <c r="E3652" s="336" t="s">
        <v>2905</v>
      </c>
      <c r="F3652" s="338"/>
      <c r="G3652" s="338" t="s">
        <v>413</v>
      </c>
      <c r="H3652" s="338" t="s">
        <v>425</v>
      </c>
      <c r="I3652" s="338" t="s">
        <v>411</v>
      </c>
      <c r="J3652" s="339"/>
      <c r="K3652" s="339"/>
      <c r="L3652" s="339" t="s">
        <v>409</v>
      </c>
      <c r="M3652" s="339" t="s">
        <v>409</v>
      </c>
      <c r="N3652" s="338" t="s">
        <v>417</v>
      </c>
      <c r="O3652" s="338" t="s">
        <v>409</v>
      </c>
      <c r="P3652" s="338"/>
    </row>
    <row r="3653" spans="2:16" x14ac:dyDescent="0.25">
      <c r="B3653" s="336" t="s">
        <v>416</v>
      </c>
      <c r="C3653" s="337">
        <v>39073</v>
      </c>
      <c r="D3653" s="338" t="s">
        <v>2904</v>
      </c>
      <c r="E3653" s="336" t="s">
        <v>2190</v>
      </c>
      <c r="F3653" s="338"/>
      <c r="G3653" s="338">
        <v>13.65</v>
      </c>
      <c r="H3653" s="338" t="s">
        <v>425</v>
      </c>
      <c r="I3653" s="338" t="s">
        <v>411</v>
      </c>
      <c r="J3653" s="339"/>
      <c r="K3653" s="339"/>
      <c r="L3653" s="339" t="s">
        <v>409</v>
      </c>
      <c r="M3653" s="339" t="s">
        <v>409</v>
      </c>
      <c r="N3653" s="338"/>
      <c r="O3653" s="338" t="s">
        <v>409</v>
      </c>
      <c r="P3653" s="338" t="s">
        <v>417</v>
      </c>
    </row>
    <row r="3654" spans="2:16" x14ac:dyDescent="0.25">
      <c r="B3654" s="336" t="s">
        <v>459</v>
      </c>
      <c r="C3654" s="337">
        <v>39073</v>
      </c>
      <c r="D3654" s="338" t="s">
        <v>2062</v>
      </c>
      <c r="E3654" s="336" t="s">
        <v>1708</v>
      </c>
      <c r="F3654" s="338"/>
      <c r="G3654" s="338">
        <v>2.96</v>
      </c>
      <c r="H3654" s="338" t="s">
        <v>425</v>
      </c>
      <c r="I3654" s="338" t="s">
        <v>411</v>
      </c>
      <c r="J3654" s="339"/>
      <c r="K3654" s="339"/>
      <c r="L3654" s="339" t="s">
        <v>409</v>
      </c>
      <c r="M3654" s="339" t="s">
        <v>409</v>
      </c>
      <c r="N3654" s="338" t="s">
        <v>432</v>
      </c>
      <c r="O3654" s="338" t="s">
        <v>409</v>
      </c>
      <c r="P3654" s="338" t="s">
        <v>443</v>
      </c>
    </row>
    <row r="3655" spans="2:16" x14ac:dyDescent="0.25">
      <c r="B3655" s="336" t="s">
        <v>416</v>
      </c>
      <c r="C3655" s="337">
        <v>39072</v>
      </c>
      <c r="D3655" s="338" t="s">
        <v>2903</v>
      </c>
      <c r="E3655" s="336" t="s">
        <v>2902</v>
      </c>
      <c r="F3655" s="338"/>
      <c r="G3655" s="338">
        <v>124.1</v>
      </c>
      <c r="H3655" s="338" t="s">
        <v>425</v>
      </c>
      <c r="I3655" s="338" t="s">
        <v>411</v>
      </c>
      <c r="J3655" s="339"/>
      <c r="K3655" s="339"/>
      <c r="L3655" s="339" t="s">
        <v>409</v>
      </c>
      <c r="M3655" s="339" t="s">
        <v>409</v>
      </c>
      <c r="N3655" s="338" t="s">
        <v>417</v>
      </c>
      <c r="O3655" s="338" t="s">
        <v>409</v>
      </c>
      <c r="P3655" s="338" t="s">
        <v>443</v>
      </c>
    </row>
    <row r="3656" spans="2:16" x14ac:dyDescent="0.25">
      <c r="B3656" s="336" t="s">
        <v>416</v>
      </c>
      <c r="C3656" s="337">
        <v>39071</v>
      </c>
      <c r="D3656" s="338" t="s">
        <v>2901</v>
      </c>
      <c r="E3656" s="336" t="s">
        <v>2900</v>
      </c>
      <c r="F3656" s="338" t="s">
        <v>1373</v>
      </c>
      <c r="G3656" s="338">
        <v>126</v>
      </c>
      <c r="H3656" s="338" t="s">
        <v>425</v>
      </c>
      <c r="I3656" s="338" t="s">
        <v>411</v>
      </c>
      <c r="J3656" s="339"/>
      <c r="K3656" s="339"/>
      <c r="L3656" s="339">
        <v>3.72275</v>
      </c>
      <c r="M3656" s="339">
        <v>16.232900000000001</v>
      </c>
      <c r="N3656" s="338"/>
      <c r="O3656" s="338" t="s">
        <v>410</v>
      </c>
      <c r="P3656" s="338" t="s">
        <v>410</v>
      </c>
    </row>
    <row r="3657" spans="2:16" x14ac:dyDescent="0.25">
      <c r="B3657" s="336" t="s">
        <v>459</v>
      </c>
      <c r="C3657" s="337">
        <v>39071</v>
      </c>
      <c r="D3657" s="338" t="s">
        <v>2899</v>
      </c>
      <c r="E3657" s="336" t="s">
        <v>438</v>
      </c>
      <c r="F3657" s="338"/>
      <c r="G3657" s="338">
        <v>0.7</v>
      </c>
      <c r="H3657" s="338" t="s">
        <v>425</v>
      </c>
      <c r="I3657" s="338" t="s">
        <v>411</v>
      </c>
      <c r="J3657" s="339"/>
      <c r="K3657" s="339"/>
      <c r="L3657" s="339" t="s">
        <v>409</v>
      </c>
      <c r="M3657" s="339" t="s">
        <v>409</v>
      </c>
      <c r="N3657" s="338" t="s">
        <v>417</v>
      </c>
      <c r="O3657" s="338" t="s">
        <v>409</v>
      </c>
      <c r="P3657" s="338" t="s">
        <v>417</v>
      </c>
    </row>
    <row r="3658" spans="2:16" x14ac:dyDescent="0.25">
      <c r="B3658" s="336" t="s">
        <v>416</v>
      </c>
      <c r="C3658" s="337">
        <v>39070</v>
      </c>
      <c r="D3658" s="338" t="s">
        <v>2898</v>
      </c>
      <c r="E3658" s="336" t="s">
        <v>2897</v>
      </c>
      <c r="F3658" s="338" t="s">
        <v>2896</v>
      </c>
      <c r="G3658" s="338">
        <v>11.5</v>
      </c>
      <c r="H3658" s="338" t="s">
        <v>425</v>
      </c>
      <c r="I3658" s="338" t="s">
        <v>411</v>
      </c>
      <c r="J3658" s="339"/>
      <c r="K3658" s="339"/>
      <c r="L3658" s="339">
        <v>1.62016</v>
      </c>
      <c r="M3658" s="339">
        <v>259.43799999999999</v>
      </c>
      <c r="N3658" s="338"/>
      <c r="O3658" s="338" t="s">
        <v>417</v>
      </c>
      <c r="P3658" s="338" t="s">
        <v>443</v>
      </c>
    </row>
    <row r="3659" spans="2:16" x14ac:dyDescent="0.25">
      <c r="B3659" s="336" t="s">
        <v>416</v>
      </c>
      <c r="C3659" s="337">
        <v>39070</v>
      </c>
      <c r="D3659" s="338" t="s">
        <v>2895</v>
      </c>
      <c r="E3659" s="336" t="s">
        <v>2894</v>
      </c>
      <c r="F3659" s="338" t="s">
        <v>1165</v>
      </c>
      <c r="G3659" s="338">
        <v>100.57</v>
      </c>
      <c r="H3659" s="338" t="s">
        <v>412</v>
      </c>
      <c r="I3659" s="338" t="s">
        <v>411</v>
      </c>
      <c r="J3659" s="339">
        <v>0.47455000000000003</v>
      </c>
      <c r="K3659" s="339">
        <v>190.714</v>
      </c>
      <c r="L3659" s="339"/>
      <c r="M3659" s="339"/>
      <c r="N3659" s="338" t="s">
        <v>417</v>
      </c>
      <c r="O3659" s="338" t="s">
        <v>443</v>
      </c>
      <c r="P3659" s="338" t="s">
        <v>417</v>
      </c>
    </row>
    <row r="3660" spans="2:16" x14ac:dyDescent="0.25">
      <c r="B3660" s="336" t="s">
        <v>416</v>
      </c>
      <c r="C3660" s="337">
        <v>39070</v>
      </c>
      <c r="D3660" s="338" t="s">
        <v>2893</v>
      </c>
      <c r="E3660" s="336" t="s">
        <v>983</v>
      </c>
      <c r="F3660" s="338" t="s">
        <v>2892</v>
      </c>
      <c r="G3660" s="338" t="s">
        <v>413</v>
      </c>
      <c r="H3660" s="338" t="s">
        <v>425</v>
      </c>
      <c r="I3660" s="338" t="s">
        <v>411</v>
      </c>
      <c r="J3660" s="339"/>
      <c r="K3660" s="339"/>
      <c r="L3660" s="339"/>
      <c r="M3660" s="339"/>
      <c r="N3660" s="338"/>
      <c r="O3660" s="338" t="s">
        <v>417</v>
      </c>
      <c r="P3660" s="338" t="s">
        <v>417</v>
      </c>
    </row>
    <row r="3661" spans="2:16" x14ac:dyDescent="0.25">
      <c r="B3661" s="336" t="s">
        <v>416</v>
      </c>
      <c r="C3661" s="337">
        <v>39070</v>
      </c>
      <c r="D3661" s="338" t="s">
        <v>2891</v>
      </c>
      <c r="E3661" s="336" t="s">
        <v>2508</v>
      </c>
      <c r="F3661" s="338" t="s">
        <v>2890</v>
      </c>
      <c r="G3661" s="338">
        <v>265</v>
      </c>
      <c r="H3661" s="338" t="s">
        <v>425</v>
      </c>
      <c r="I3661" s="338" t="s">
        <v>411</v>
      </c>
      <c r="J3661" s="339"/>
      <c r="K3661" s="339"/>
      <c r="L3661" s="339">
        <v>2.09585</v>
      </c>
      <c r="M3661" s="339"/>
      <c r="N3661" s="338" t="s">
        <v>417</v>
      </c>
      <c r="O3661" s="338" t="s">
        <v>417</v>
      </c>
      <c r="P3661" s="338" t="s">
        <v>443</v>
      </c>
    </row>
    <row r="3662" spans="2:16" x14ac:dyDescent="0.25">
      <c r="B3662" s="336" t="s">
        <v>416</v>
      </c>
      <c r="C3662" s="337">
        <v>39070</v>
      </c>
      <c r="D3662" s="338" t="s">
        <v>2889</v>
      </c>
      <c r="E3662" s="336" t="s">
        <v>1006</v>
      </c>
      <c r="F3662" s="338"/>
      <c r="G3662" s="338" t="s">
        <v>413</v>
      </c>
      <c r="H3662" s="338" t="s">
        <v>425</v>
      </c>
      <c r="I3662" s="338" t="s">
        <v>411</v>
      </c>
      <c r="J3662" s="339"/>
      <c r="K3662" s="339"/>
      <c r="L3662" s="339" t="s">
        <v>409</v>
      </c>
      <c r="M3662" s="339" t="s">
        <v>409</v>
      </c>
      <c r="N3662" s="338" t="s">
        <v>885</v>
      </c>
      <c r="O3662" s="338" t="s">
        <v>409</v>
      </c>
      <c r="P3662" s="338" t="s">
        <v>417</v>
      </c>
    </row>
    <row r="3663" spans="2:16" x14ac:dyDescent="0.25">
      <c r="B3663" s="336" t="s">
        <v>416</v>
      </c>
      <c r="C3663" s="337">
        <v>39070</v>
      </c>
      <c r="D3663" s="338" t="s">
        <v>2888</v>
      </c>
      <c r="E3663" s="336" t="s">
        <v>2887</v>
      </c>
      <c r="F3663" s="338" t="s">
        <v>2886</v>
      </c>
      <c r="G3663" s="338">
        <v>428.83</v>
      </c>
      <c r="H3663" s="338" t="s">
        <v>336</v>
      </c>
      <c r="I3663" s="338" t="s">
        <v>411</v>
      </c>
      <c r="J3663" s="339"/>
      <c r="K3663" s="339"/>
      <c r="L3663" s="339"/>
      <c r="M3663" s="339"/>
      <c r="N3663" s="338" t="s">
        <v>417</v>
      </c>
      <c r="O3663" s="338" t="s">
        <v>417</v>
      </c>
      <c r="P3663" s="338" t="s">
        <v>417</v>
      </c>
    </row>
    <row r="3664" spans="2:16" x14ac:dyDescent="0.25">
      <c r="B3664" s="336" t="s">
        <v>416</v>
      </c>
      <c r="C3664" s="337">
        <v>39069</v>
      </c>
      <c r="D3664" s="338" t="s">
        <v>481</v>
      </c>
      <c r="E3664" s="336" t="s">
        <v>2023</v>
      </c>
      <c r="F3664" s="338" t="s">
        <v>480</v>
      </c>
      <c r="G3664" s="338" t="s">
        <v>413</v>
      </c>
      <c r="H3664" s="338" t="s">
        <v>425</v>
      </c>
      <c r="I3664" s="338" t="s">
        <v>411</v>
      </c>
      <c r="J3664" s="339"/>
      <c r="K3664" s="339"/>
      <c r="L3664" s="339"/>
      <c r="M3664" s="339"/>
      <c r="N3664" s="338" t="s">
        <v>417</v>
      </c>
      <c r="O3664" s="338" t="s">
        <v>443</v>
      </c>
      <c r="P3664" s="338" t="s">
        <v>443</v>
      </c>
    </row>
    <row r="3665" spans="2:16" x14ac:dyDescent="0.25">
      <c r="B3665" s="336" t="s">
        <v>459</v>
      </c>
      <c r="C3665" s="337">
        <v>39068</v>
      </c>
      <c r="D3665" s="338" t="s">
        <v>2885</v>
      </c>
      <c r="E3665" s="336" t="s">
        <v>2884</v>
      </c>
      <c r="F3665" s="338"/>
      <c r="G3665" s="338">
        <v>22.5</v>
      </c>
      <c r="H3665" s="338" t="s">
        <v>425</v>
      </c>
      <c r="I3665" s="338" t="s">
        <v>411</v>
      </c>
      <c r="J3665" s="339"/>
      <c r="K3665" s="339"/>
      <c r="L3665" s="339" t="s">
        <v>409</v>
      </c>
      <c r="M3665" s="339" t="s">
        <v>409</v>
      </c>
      <c r="N3665" s="338" t="s">
        <v>417</v>
      </c>
      <c r="O3665" s="338" t="s">
        <v>409</v>
      </c>
      <c r="P3665" s="338" t="s">
        <v>443</v>
      </c>
    </row>
    <row r="3666" spans="2:16" x14ac:dyDescent="0.25">
      <c r="B3666" s="336" t="s">
        <v>416</v>
      </c>
      <c r="C3666" s="337">
        <v>39064</v>
      </c>
      <c r="D3666" s="338" t="s">
        <v>2883</v>
      </c>
      <c r="E3666" s="336" t="s">
        <v>2882</v>
      </c>
      <c r="F3666" s="338" t="s">
        <v>2881</v>
      </c>
      <c r="G3666" s="338">
        <v>379.7</v>
      </c>
      <c r="H3666" s="338" t="s">
        <v>429</v>
      </c>
      <c r="I3666" s="338" t="s">
        <v>411</v>
      </c>
      <c r="J3666" s="339">
        <v>2.9702099999999998</v>
      </c>
      <c r="K3666" s="339">
        <v>17.249600000000001</v>
      </c>
      <c r="L3666" s="339"/>
      <c r="M3666" s="339"/>
      <c r="N3666" s="338" t="s">
        <v>417</v>
      </c>
      <c r="O3666" s="338" t="s">
        <v>432</v>
      </c>
      <c r="P3666" s="338" t="s">
        <v>432</v>
      </c>
    </row>
    <row r="3667" spans="2:16" x14ac:dyDescent="0.25">
      <c r="B3667" s="336" t="s">
        <v>416</v>
      </c>
      <c r="C3667" s="337">
        <v>39064</v>
      </c>
      <c r="D3667" s="338" t="s">
        <v>2880</v>
      </c>
      <c r="E3667" s="336" t="s">
        <v>2879</v>
      </c>
      <c r="F3667" s="338" t="s">
        <v>2878</v>
      </c>
      <c r="G3667" s="338" t="s">
        <v>413</v>
      </c>
      <c r="H3667" s="338" t="s">
        <v>425</v>
      </c>
      <c r="I3667" s="338" t="s">
        <v>411</v>
      </c>
      <c r="J3667" s="339"/>
      <c r="K3667" s="339"/>
      <c r="L3667" s="339">
        <v>0.29694599999999999</v>
      </c>
      <c r="M3667" s="339">
        <v>6.6034800000000002</v>
      </c>
      <c r="N3667" s="338"/>
      <c r="O3667" s="338" t="s">
        <v>410</v>
      </c>
      <c r="P3667" s="338" t="s">
        <v>410</v>
      </c>
    </row>
    <row r="3668" spans="2:16" x14ac:dyDescent="0.25">
      <c r="B3668" s="336" t="s">
        <v>416</v>
      </c>
      <c r="C3668" s="337">
        <v>39064</v>
      </c>
      <c r="D3668" s="338" t="s">
        <v>2877</v>
      </c>
      <c r="E3668" s="336" t="s">
        <v>2839</v>
      </c>
      <c r="F3668" s="338"/>
      <c r="G3668" s="338">
        <v>31.45</v>
      </c>
      <c r="H3668" s="338" t="s">
        <v>429</v>
      </c>
      <c r="I3668" s="338" t="s">
        <v>411</v>
      </c>
      <c r="J3668" s="339"/>
      <c r="K3668" s="339"/>
      <c r="L3668" s="339" t="s">
        <v>409</v>
      </c>
      <c r="M3668" s="339" t="s">
        <v>409</v>
      </c>
      <c r="N3668" s="338" t="s">
        <v>410</v>
      </c>
      <c r="O3668" s="338" t="s">
        <v>409</v>
      </c>
      <c r="P3668" s="338" t="s">
        <v>417</v>
      </c>
    </row>
    <row r="3669" spans="2:16" x14ac:dyDescent="0.25">
      <c r="B3669" s="336" t="s">
        <v>416</v>
      </c>
      <c r="C3669" s="337">
        <v>39063</v>
      </c>
      <c r="D3669" s="338" t="s">
        <v>2876</v>
      </c>
      <c r="E3669" s="336" t="s">
        <v>2875</v>
      </c>
      <c r="F3669" s="338" t="s">
        <v>889</v>
      </c>
      <c r="G3669" s="338" t="s">
        <v>413</v>
      </c>
      <c r="H3669" s="338" t="s">
        <v>425</v>
      </c>
      <c r="I3669" s="338" t="s">
        <v>411</v>
      </c>
      <c r="J3669" s="339"/>
      <c r="K3669" s="339"/>
      <c r="L3669" s="339">
        <v>2.9470299999999998</v>
      </c>
      <c r="M3669" s="339">
        <v>13.790100000000001</v>
      </c>
      <c r="N3669" s="338"/>
      <c r="O3669" s="338" t="s">
        <v>410</v>
      </c>
      <c r="P3669" s="338" t="s">
        <v>410</v>
      </c>
    </row>
    <row r="3670" spans="2:16" x14ac:dyDescent="0.25">
      <c r="B3670" s="336" t="s">
        <v>416</v>
      </c>
      <c r="C3670" s="337">
        <v>39063</v>
      </c>
      <c r="D3670" s="338" t="s">
        <v>2874</v>
      </c>
      <c r="E3670" s="336" t="s">
        <v>983</v>
      </c>
      <c r="F3670" s="338" t="s">
        <v>2873</v>
      </c>
      <c r="G3670" s="338" t="s">
        <v>413</v>
      </c>
      <c r="H3670" s="338" t="s">
        <v>425</v>
      </c>
      <c r="I3670" s="338" t="s">
        <v>411</v>
      </c>
      <c r="J3670" s="339"/>
      <c r="K3670" s="339"/>
      <c r="L3670" s="339"/>
      <c r="M3670" s="339"/>
      <c r="N3670" s="338"/>
      <c r="O3670" s="338" t="s">
        <v>417</v>
      </c>
      <c r="P3670" s="338" t="s">
        <v>417</v>
      </c>
    </row>
    <row r="3671" spans="2:16" x14ac:dyDescent="0.25">
      <c r="B3671" s="336" t="s">
        <v>416</v>
      </c>
      <c r="C3671" s="337">
        <v>39063</v>
      </c>
      <c r="D3671" s="338" t="s">
        <v>2872</v>
      </c>
      <c r="E3671" s="336" t="s">
        <v>2871</v>
      </c>
      <c r="F3671" s="338"/>
      <c r="G3671" s="338" t="s">
        <v>413</v>
      </c>
      <c r="H3671" s="338" t="s">
        <v>425</v>
      </c>
      <c r="I3671" s="338" t="s">
        <v>411</v>
      </c>
      <c r="J3671" s="339"/>
      <c r="K3671" s="339"/>
      <c r="L3671" s="339" t="s">
        <v>409</v>
      </c>
      <c r="M3671" s="339" t="s">
        <v>409</v>
      </c>
      <c r="N3671" s="338"/>
      <c r="O3671" s="338" t="s">
        <v>409</v>
      </c>
      <c r="P3671" s="338" t="s">
        <v>417</v>
      </c>
    </row>
    <row r="3672" spans="2:16" x14ac:dyDescent="0.25">
      <c r="B3672" s="336" t="s">
        <v>416</v>
      </c>
      <c r="C3672" s="337">
        <v>39062</v>
      </c>
      <c r="D3672" s="338" t="s">
        <v>2870</v>
      </c>
      <c r="E3672" s="336" t="s">
        <v>2869</v>
      </c>
      <c r="F3672" s="338"/>
      <c r="G3672" s="338">
        <v>16.600000000000001</v>
      </c>
      <c r="H3672" s="338" t="s">
        <v>425</v>
      </c>
      <c r="I3672" s="338" t="s">
        <v>411</v>
      </c>
      <c r="J3672" s="339"/>
      <c r="K3672" s="339"/>
      <c r="L3672" s="339" t="s">
        <v>409</v>
      </c>
      <c r="M3672" s="339" t="s">
        <v>409</v>
      </c>
      <c r="N3672" s="338" t="s">
        <v>417</v>
      </c>
      <c r="O3672" s="338" t="s">
        <v>409</v>
      </c>
      <c r="P3672" s="338" t="s">
        <v>417</v>
      </c>
    </row>
    <row r="3673" spans="2:16" x14ac:dyDescent="0.25">
      <c r="B3673" s="336" t="s">
        <v>416</v>
      </c>
      <c r="C3673" s="337">
        <v>39062</v>
      </c>
      <c r="D3673" s="338" t="s">
        <v>2868</v>
      </c>
      <c r="E3673" s="336" t="s">
        <v>2867</v>
      </c>
      <c r="F3673" s="338"/>
      <c r="G3673" s="338" t="s">
        <v>413</v>
      </c>
      <c r="H3673" s="338" t="s">
        <v>425</v>
      </c>
      <c r="I3673" s="338" t="s">
        <v>411</v>
      </c>
      <c r="J3673" s="339"/>
      <c r="K3673" s="339"/>
      <c r="L3673" s="339" t="s">
        <v>409</v>
      </c>
      <c r="M3673" s="339" t="s">
        <v>409</v>
      </c>
      <c r="N3673" s="338"/>
      <c r="O3673" s="338" t="s">
        <v>409</v>
      </c>
      <c r="P3673" s="338" t="s">
        <v>443</v>
      </c>
    </row>
    <row r="3674" spans="2:16" x14ac:dyDescent="0.25">
      <c r="B3674" s="336" t="s">
        <v>416</v>
      </c>
      <c r="C3674" s="337">
        <v>39062</v>
      </c>
      <c r="D3674" s="338" t="s">
        <v>692</v>
      </c>
      <c r="E3674" s="336" t="s">
        <v>1129</v>
      </c>
      <c r="F3674" s="338"/>
      <c r="G3674" s="338" t="s">
        <v>413</v>
      </c>
      <c r="H3674" s="338" t="s">
        <v>412</v>
      </c>
      <c r="I3674" s="338" t="s">
        <v>411</v>
      </c>
      <c r="J3674" s="339"/>
      <c r="K3674" s="339"/>
      <c r="L3674" s="339" t="s">
        <v>409</v>
      </c>
      <c r="M3674" s="339" t="s">
        <v>409</v>
      </c>
      <c r="N3674" s="338"/>
      <c r="O3674" s="338" t="s">
        <v>409</v>
      </c>
      <c r="P3674" s="338" t="s">
        <v>417</v>
      </c>
    </row>
    <row r="3675" spans="2:16" x14ac:dyDescent="0.25">
      <c r="B3675" s="336" t="s">
        <v>459</v>
      </c>
      <c r="C3675" s="337">
        <v>39062</v>
      </c>
      <c r="D3675" s="338" t="s">
        <v>2866</v>
      </c>
      <c r="E3675" s="336" t="s">
        <v>2865</v>
      </c>
      <c r="F3675" s="338"/>
      <c r="G3675" s="338" t="s">
        <v>413</v>
      </c>
      <c r="H3675" s="338" t="s">
        <v>425</v>
      </c>
      <c r="I3675" s="338" t="s">
        <v>411</v>
      </c>
      <c r="J3675" s="339"/>
      <c r="K3675" s="339"/>
      <c r="L3675" s="339" t="s">
        <v>409</v>
      </c>
      <c r="M3675" s="339" t="s">
        <v>409</v>
      </c>
      <c r="N3675" s="338" t="s">
        <v>417</v>
      </c>
      <c r="O3675" s="338" t="s">
        <v>409</v>
      </c>
      <c r="P3675" s="338"/>
    </row>
    <row r="3676" spans="2:16" x14ac:dyDescent="0.25">
      <c r="B3676" s="336" t="s">
        <v>459</v>
      </c>
      <c r="C3676" s="337">
        <v>39058</v>
      </c>
      <c r="D3676" s="338" t="s">
        <v>2864</v>
      </c>
      <c r="E3676" s="336" t="s">
        <v>889</v>
      </c>
      <c r="F3676" s="338"/>
      <c r="G3676" s="338" t="s">
        <v>413</v>
      </c>
      <c r="H3676" s="338" t="s">
        <v>412</v>
      </c>
      <c r="I3676" s="338" t="s">
        <v>411</v>
      </c>
      <c r="J3676" s="339"/>
      <c r="K3676" s="339"/>
      <c r="L3676" s="339" t="s">
        <v>409</v>
      </c>
      <c r="M3676" s="339" t="s">
        <v>409</v>
      </c>
      <c r="N3676" s="338" t="s">
        <v>410</v>
      </c>
      <c r="O3676" s="338" t="s">
        <v>409</v>
      </c>
      <c r="P3676" s="338" t="s">
        <v>410</v>
      </c>
    </row>
    <row r="3677" spans="2:16" x14ac:dyDescent="0.25">
      <c r="B3677" s="336" t="s">
        <v>459</v>
      </c>
      <c r="C3677" s="337">
        <v>39058</v>
      </c>
      <c r="D3677" s="338" t="s">
        <v>2863</v>
      </c>
      <c r="E3677" s="336" t="s">
        <v>2862</v>
      </c>
      <c r="F3677" s="338"/>
      <c r="G3677" s="338">
        <v>280</v>
      </c>
      <c r="H3677" s="338" t="s">
        <v>412</v>
      </c>
      <c r="I3677" s="338" t="s">
        <v>411</v>
      </c>
      <c r="J3677" s="339"/>
      <c r="K3677" s="339"/>
      <c r="L3677" s="339" t="s">
        <v>409</v>
      </c>
      <c r="M3677" s="339" t="s">
        <v>409</v>
      </c>
      <c r="N3677" s="338" t="s">
        <v>482</v>
      </c>
      <c r="O3677" s="338" t="s">
        <v>409</v>
      </c>
      <c r="P3677" s="338" t="s">
        <v>417</v>
      </c>
    </row>
    <row r="3678" spans="2:16" x14ac:dyDescent="0.25">
      <c r="B3678" s="336" t="s">
        <v>416</v>
      </c>
      <c r="C3678" s="337">
        <v>39058</v>
      </c>
      <c r="D3678" s="338" t="s">
        <v>2861</v>
      </c>
      <c r="E3678" s="336" t="s">
        <v>2860</v>
      </c>
      <c r="F3678" s="338" t="s">
        <v>1817</v>
      </c>
      <c r="G3678" s="338">
        <v>975</v>
      </c>
      <c r="H3678" s="338" t="s">
        <v>425</v>
      </c>
      <c r="I3678" s="338" t="s">
        <v>411</v>
      </c>
      <c r="J3678" s="339"/>
      <c r="K3678" s="339"/>
      <c r="L3678" s="339">
        <v>1.0339799999999999</v>
      </c>
      <c r="M3678" s="339">
        <v>5.9829800000000004</v>
      </c>
      <c r="N3678" s="338" t="s">
        <v>417</v>
      </c>
      <c r="O3678" s="338" t="s">
        <v>417</v>
      </c>
      <c r="P3678" s="338" t="s">
        <v>417</v>
      </c>
    </row>
    <row r="3679" spans="2:16" x14ac:dyDescent="0.25">
      <c r="B3679" s="336" t="s">
        <v>416</v>
      </c>
      <c r="C3679" s="337">
        <v>39058</v>
      </c>
      <c r="D3679" s="338" t="s">
        <v>2859</v>
      </c>
      <c r="E3679" s="336" t="s">
        <v>598</v>
      </c>
      <c r="F3679" s="338"/>
      <c r="G3679" s="338" t="s">
        <v>413</v>
      </c>
      <c r="H3679" s="338" t="s">
        <v>425</v>
      </c>
      <c r="I3679" s="338" t="s">
        <v>411</v>
      </c>
      <c r="J3679" s="339"/>
      <c r="K3679" s="339"/>
      <c r="L3679" s="339" t="s">
        <v>409</v>
      </c>
      <c r="M3679" s="339" t="s">
        <v>409</v>
      </c>
      <c r="N3679" s="338"/>
      <c r="O3679" s="338" t="s">
        <v>409</v>
      </c>
      <c r="P3679" s="338" t="s">
        <v>417</v>
      </c>
    </row>
    <row r="3680" spans="2:16" x14ac:dyDescent="0.25">
      <c r="B3680" s="336" t="s">
        <v>416</v>
      </c>
      <c r="C3680" s="337">
        <v>39058</v>
      </c>
      <c r="D3680" s="338" t="s">
        <v>2858</v>
      </c>
      <c r="E3680" s="336" t="s">
        <v>1529</v>
      </c>
      <c r="F3680" s="338" t="s">
        <v>2857</v>
      </c>
      <c r="G3680" s="338" t="s">
        <v>413</v>
      </c>
      <c r="H3680" s="338" t="s">
        <v>425</v>
      </c>
      <c r="I3680" s="338" t="s">
        <v>411</v>
      </c>
      <c r="J3680" s="339"/>
      <c r="K3680" s="339"/>
      <c r="L3680" s="339"/>
      <c r="M3680" s="339"/>
      <c r="N3680" s="338"/>
      <c r="O3680" s="338" t="s">
        <v>408</v>
      </c>
      <c r="P3680" s="338" t="s">
        <v>410</v>
      </c>
    </row>
    <row r="3681" spans="2:16" x14ac:dyDescent="0.25">
      <c r="B3681" s="336" t="s">
        <v>416</v>
      </c>
      <c r="C3681" s="337">
        <v>39058</v>
      </c>
      <c r="D3681" s="338" t="s">
        <v>2856</v>
      </c>
      <c r="E3681" s="336" t="s">
        <v>669</v>
      </c>
      <c r="F3681" s="338" t="s">
        <v>2855</v>
      </c>
      <c r="G3681" s="338">
        <v>98.82</v>
      </c>
      <c r="H3681" s="338" t="s">
        <v>425</v>
      </c>
      <c r="I3681" s="338" t="s">
        <v>411</v>
      </c>
      <c r="J3681" s="339"/>
      <c r="K3681" s="339"/>
      <c r="L3681" s="339">
        <v>10.741199999999999</v>
      </c>
      <c r="M3681" s="339">
        <v>17.888500000000001</v>
      </c>
      <c r="N3681" s="338"/>
      <c r="O3681" s="338" t="s">
        <v>443</v>
      </c>
      <c r="P3681" s="338"/>
    </row>
    <row r="3682" spans="2:16" x14ac:dyDescent="0.25">
      <c r="B3682" s="336" t="s">
        <v>542</v>
      </c>
      <c r="C3682" s="337">
        <v>39057</v>
      </c>
      <c r="D3682" s="338" t="s">
        <v>2081</v>
      </c>
      <c r="E3682" s="336" t="s">
        <v>539</v>
      </c>
      <c r="F3682" s="338"/>
      <c r="G3682" s="338">
        <v>250</v>
      </c>
      <c r="H3682" s="338"/>
      <c r="I3682" s="338" t="s">
        <v>411</v>
      </c>
      <c r="J3682" s="339">
        <v>1.0018499999999999</v>
      </c>
      <c r="K3682" s="339">
        <v>9.9138099999999998</v>
      </c>
      <c r="L3682" s="339" t="s">
        <v>409</v>
      </c>
      <c r="M3682" s="339" t="s">
        <v>409</v>
      </c>
      <c r="N3682" s="338" t="s">
        <v>417</v>
      </c>
      <c r="O3682" s="338" t="s">
        <v>409</v>
      </c>
      <c r="P3682" s="338" t="s">
        <v>417</v>
      </c>
    </row>
    <row r="3683" spans="2:16" x14ac:dyDescent="0.25">
      <c r="B3683" s="336" t="s">
        <v>416</v>
      </c>
      <c r="C3683" s="337">
        <v>39056</v>
      </c>
      <c r="D3683" s="338" t="s">
        <v>2854</v>
      </c>
      <c r="E3683" s="336" t="s">
        <v>2828</v>
      </c>
      <c r="F3683" s="338"/>
      <c r="G3683" s="338" t="s">
        <v>413</v>
      </c>
      <c r="H3683" s="338" t="s">
        <v>425</v>
      </c>
      <c r="I3683" s="338" t="s">
        <v>411</v>
      </c>
      <c r="J3683" s="339"/>
      <c r="K3683" s="339"/>
      <c r="L3683" s="339" t="s">
        <v>409</v>
      </c>
      <c r="M3683" s="339" t="s">
        <v>409</v>
      </c>
      <c r="N3683" s="338" t="s">
        <v>417</v>
      </c>
      <c r="O3683" s="338" t="s">
        <v>409</v>
      </c>
      <c r="P3683" s="338" t="s">
        <v>443</v>
      </c>
    </row>
    <row r="3684" spans="2:16" x14ac:dyDescent="0.25">
      <c r="B3684" s="336" t="s">
        <v>416</v>
      </c>
      <c r="C3684" s="337">
        <v>39056</v>
      </c>
      <c r="D3684" s="338" t="s">
        <v>2853</v>
      </c>
      <c r="E3684" s="336" t="s">
        <v>2173</v>
      </c>
      <c r="F3684" s="338"/>
      <c r="G3684" s="338" t="s">
        <v>413</v>
      </c>
      <c r="H3684" s="338" t="s">
        <v>425</v>
      </c>
      <c r="I3684" s="338" t="s">
        <v>411</v>
      </c>
      <c r="J3684" s="339"/>
      <c r="K3684" s="339"/>
      <c r="L3684" s="339" t="s">
        <v>409</v>
      </c>
      <c r="M3684" s="339" t="s">
        <v>409</v>
      </c>
      <c r="N3684" s="338" t="s">
        <v>417</v>
      </c>
      <c r="O3684" s="338" t="s">
        <v>409</v>
      </c>
      <c r="P3684" s="338" t="s">
        <v>443</v>
      </c>
    </row>
    <row r="3685" spans="2:16" x14ac:dyDescent="0.25">
      <c r="B3685" s="336" t="s">
        <v>416</v>
      </c>
      <c r="C3685" s="337">
        <v>39056</v>
      </c>
      <c r="D3685" s="338" t="s">
        <v>2852</v>
      </c>
      <c r="E3685" s="336" t="s">
        <v>2851</v>
      </c>
      <c r="F3685" s="338"/>
      <c r="G3685" s="338" t="s">
        <v>413</v>
      </c>
      <c r="H3685" s="338" t="s">
        <v>425</v>
      </c>
      <c r="I3685" s="338" t="s">
        <v>411</v>
      </c>
      <c r="J3685" s="339"/>
      <c r="K3685" s="339"/>
      <c r="L3685" s="339" t="s">
        <v>409</v>
      </c>
      <c r="M3685" s="339" t="s">
        <v>409</v>
      </c>
      <c r="N3685" s="338"/>
      <c r="O3685" s="338" t="s">
        <v>409</v>
      </c>
      <c r="P3685" s="338" t="s">
        <v>417</v>
      </c>
    </row>
    <row r="3686" spans="2:16" x14ac:dyDescent="0.25">
      <c r="B3686" s="336" t="s">
        <v>416</v>
      </c>
      <c r="C3686" s="337">
        <v>39055</v>
      </c>
      <c r="D3686" s="338" t="s">
        <v>2850</v>
      </c>
      <c r="E3686" s="336" t="s">
        <v>2849</v>
      </c>
      <c r="F3686" s="338"/>
      <c r="G3686" s="338" t="s">
        <v>413</v>
      </c>
      <c r="H3686" s="338" t="s">
        <v>412</v>
      </c>
      <c r="I3686" s="338" t="s">
        <v>411</v>
      </c>
      <c r="J3686" s="339"/>
      <c r="K3686" s="339"/>
      <c r="L3686" s="339" t="s">
        <v>409</v>
      </c>
      <c r="M3686" s="339" t="s">
        <v>409</v>
      </c>
      <c r="N3686" s="338" t="s">
        <v>410</v>
      </c>
      <c r="O3686" s="338" t="s">
        <v>409</v>
      </c>
      <c r="P3686" s="338"/>
    </row>
    <row r="3687" spans="2:16" x14ac:dyDescent="0.25">
      <c r="B3687" s="336" t="s">
        <v>416</v>
      </c>
      <c r="C3687" s="337">
        <v>39055</v>
      </c>
      <c r="D3687" s="338" t="s">
        <v>2848</v>
      </c>
      <c r="E3687" s="336" t="s">
        <v>2847</v>
      </c>
      <c r="F3687" s="338" t="s">
        <v>2846</v>
      </c>
      <c r="G3687" s="338">
        <v>14</v>
      </c>
      <c r="H3687" s="338" t="s">
        <v>425</v>
      </c>
      <c r="I3687" s="338" t="s">
        <v>411</v>
      </c>
      <c r="J3687" s="339"/>
      <c r="K3687" s="339"/>
      <c r="L3687" s="339">
        <v>0.54333600000000004</v>
      </c>
      <c r="M3687" s="339">
        <v>5.9554299999999998</v>
      </c>
      <c r="N3687" s="338"/>
      <c r="O3687" s="338" t="s">
        <v>417</v>
      </c>
      <c r="P3687" s="338" t="s">
        <v>417</v>
      </c>
    </row>
    <row r="3688" spans="2:16" x14ac:dyDescent="0.25">
      <c r="B3688" s="336" t="s">
        <v>416</v>
      </c>
      <c r="C3688" s="337">
        <v>39052</v>
      </c>
      <c r="D3688" s="338" t="s">
        <v>2845</v>
      </c>
      <c r="E3688" s="336" t="s">
        <v>2844</v>
      </c>
      <c r="F3688" s="338"/>
      <c r="G3688" s="338" t="s">
        <v>413</v>
      </c>
      <c r="H3688" s="338" t="s">
        <v>412</v>
      </c>
      <c r="I3688" s="338" t="s">
        <v>411</v>
      </c>
      <c r="J3688" s="339"/>
      <c r="K3688" s="339"/>
      <c r="L3688" s="339" t="s">
        <v>409</v>
      </c>
      <c r="M3688" s="339" t="s">
        <v>409</v>
      </c>
      <c r="N3688" s="338" t="s">
        <v>417</v>
      </c>
      <c r="O3688" s="338" t="s">
        <v>409</v>
      </c>
      <c r="P3688" s="338" t="s">
        <v>417</v>
      </c>
    </row>
    <row r="3689" spans="2:16" x14ac:dyDescent="0.25">
      <c r="B3689" s="336" t="s">
        <v>416</v>
      </c>
      <c r="C3689" s="337">
        <v>39052</v>
      </c>
      <c r="D3689" s="338" t="s">
        <v>2843</v>
      </c>
      <c r="E3689" s="336" t="s">
        <v>2842</v>
      </c>
      <c r="F3689" s="338" t="s">
        <v>2841</v>
      </c>
      <c r="G3689" s="338" t="s">
        <v>413</v>
      </c>
      <c r="H3689" s="338" t="s">
        <v>412</v>
      </c>
      <c r="I3689" s="338" t="s">
        <v>411</v>
      </c>
      <c r="J3689" s="339"/>
      <c r="K3689" s="339"/>
      <c r="L3689" s="339"/>
      <c r="M3689" s="339"/>
      <c r="N3689" s="338" t="s">
        <v>417</v>
      </c>
      <c r="O3689" s="338" t="s">
        <v>417</v>
      </c>
      <c r="P3689" s="338" t="s">
        <v>443</v>
      </c>
    </row>
    <row r="3690" spans="2:16" x14ac:dyDescent="0.25">
      <c r="B3690" s="336" t="s">
        <v>416</v>
      </c>
      <c r="C3690" s="337">
        <v>39051</v>
      </c>
      <c r="D3690" s="338" t="s">
        <v>2840</v>
      </c>
      <c r="E3690" s="336" t="s">
        <v>2839</v>
      </c>
      <c r="F3690" s="338"/>
      <c r="G3690" s="338">
        <v>0.1</v>
      </c>
      <c r="H3690" s="338" t="s">
        <v>336</v>
      </c>
      <c r="I3690" s="338" t="s">
        <v>411</v>
      </c>
      <c r="J3690" s="339"/>
      <c r="K3690" s="339"/>
      <c r="L3690" s="339" t="s">
        <v>409</v>
      </c>
      <c r="M3690" s="339" t="s">
        <v>409</v>
      </c>
      <c r="N3690" s="338" t="s">
        <v>417</v>
      </c>
      <c r="O3690" s="338" t="s">
        <v>409</v>
      </c>
      <c r="P3690" s="338" t="s">
        <v>417</v>
      </c>
    </row>
    <row r="3691" spans="2:16" x14ac:dyDescent="0.25">
      <c r="B3691" s="336" t="s">
        <v>459</v>
      </c>
      <c r="C3691" s="337">
        <v>39051</v>
      </c>
      <c r="D3691" s="338" t="s">
        <v>2838</v>
      </c>
      <c r="E3691" s="336" t="s">
        <v>2837</v>
      </c>
      <c r="F3691" s="338"/>
      <c r="G3691" s="338">
        <v>7</v>
      </c>
      <c r="H3691" s="338" t="s">
        <v>425</v>
      </c>
      <c r="I3691" s="338" t="s">
        <v>411</v>
      </c>
      <c r="J3691" s="339"/>
      <c r="K3691" s="339"/>
      <c r="L3691" s="339" t="s">
        <v>409</v>
      </c>
      <c r="M3691" s="339" t="s">
        <v>409</v>
      </c>
      <c r="N3691" s="338" t="s">
        <v>410</v>
      </c>
      <c r="O3691" s="338" t="s">
        <v>409</v>
      </c>
      <c r="P3691" s="338" t="s">
        <v>443</v>
      </c>
    </row>
    <row r="3692" spans="2:16" x14ac:dyDescent="0.25">
      <c r="B3692" s="336" t="s">
        <v>416</v>
      </c>
      <c r="C3692" s="337">
        <v>39051</v>
      </c>
      <c r="D3692" s="338" t="s">
        <v>2836</v>
      </c>
      <c r="E3692" s="336" t="s">
        <v>2835</v>
      </c>
      <c r="F3692" s="338" t="s">
        <v>2834</v>
      </c>
      <c r="G3692" s="338" t="s">
        <v>413</v>
      </c>
      <c r="H3692" s="338" t="s">
        <v>425</v>
      </c>
      <c r="I3692" s="338" t="s">
        <v>411</v>
      </c>
      <c r="J3692" s="339"/>
      <c r="K3692" s="339"/>
      <c r="L3692" s="339"/>
      <c r="M3692" s="339"/>
      <c r="N3692" s="338"/>
      <c r="O3692" s="338" t="s">
        <v>410</v>
      </c>
      <c r="P3692" s="338" t="s">
        <v>482</v>
      </c>
    </row>
    <row r="3693" spans="2:16" x14ac:dyDescent="0.25">
      <c r="B3693" s="336" t="s">
        <v>459</v>
      </c>
      <c r="C3693" s="337">
        <v>39050</v>
      </c>
      <c r="D3693" s="338" t="s">
        <v>2833</v>
      </c>
      <c r="E3693" s="336" t="s">
        <v>827</v>
      </c>
      <c r="F3693" s="338"/>
      <c r="G3693" s="338" t="s">
        <v>413</v>
      </c>
      <c r="H3693" s="338" t="s">
        <v>425</v>
      </c>
      <c r="I3693" s="338" t="s">
        <v>411</v>
      </c>
      <c r="J3693" s="339"/>
      <c r="K3693" s="339"/>
      <c r="L3693" s="339" t="s">
        <v>409</v>
      </c>
      <c r="M3693" s="339" t="s">
        <v>409</v>
      </c>
      <c r="N3693" s="338" t="s">
        <v>417</v>
      </c>
      <c r="O3693" s="338" t="s">
        <v>409</v>
      </c>
      <c r="P3693" s="338" t="s">
        <v>443</v>
      </c>
    </row>
    <row r="3694" spans="2:16" x14ac:dyDescent="0.25">
      <c r="B3694" s="336" t="s">
        <v>416</v>
      </c>
      <c r="C3694" s="337">
        <v>39050</v>
      </c>
      <c r="D3694" s="338" t="s">
        <v>2832</v>
      </c>
      <c r="E3694" s="336" t="s">
        <v>2831</v>
      </c>
      <c r="F3694" s="338"/>
      <c r="G3694" s="338">
        <v>0.08</v>
      </c>
      <c r="H3694" s="338" t="s">
        <v>336</v>
      </c>
      <c r="I3694" s="338" t="s">
        <v>411</v>
      </c>
      <c r="J3694" s="339"/>
      <c r="K3694" s="339"/>
      <c r="L3694" s="339" t="s">
        <v>409</v>
      </c>
      <c r="M3694" s="339" t="s">
        <v>409</v>
      </c>
      <c r="N3694" s="338" t="s">
        <v>408</v>
      </c>
      <c r="O3694" s="338" t="s">
        <v>409</v>
      </c>
      <c r="P3694" s="338" t="s">
        <v>410</v>
      </c>
    </row>
    <row r="3695" spans="2:16" x14ac:dyDescent="0.25">
      <c r="B3695" s="336" t="s">
        <v>416</v>
      </c>
      <c r="C3695" s="337">
        <v>39049</v>
      </c>
      <c r="D3695" s="338" t="s">
        <v>2830</v>
      </c>
      <c r="E3695" s="336" t="s">
        <v>983</v>
      </c>
      <c r="F3695" s="338"/>
      <c r="G3695" s="338" t="s">
        <v>413</v>
      </c>
      <c r="H3695" s="338" t="s">
        <v>425</v>
      </c>
      <c r="I3695" s="338" t="s">
        <v>411</v>
      </c>
      <c r="J3695" s="339"/>
      <c r="K3695" s="339"/>
      <c r="L3695" s="339" t="s">
        <v>409</v>
      </c>
      <c r="M3695" s="339" t="s">
        <v>409</v>
      </c>
      <c r="N3695" s="338"/>
      <c r="O3695" s="338" t="s">
        <v>409</v>
      </c>
      <c r="P3695" s="338" t="s">
        <v>417</v>
      </c>
    </row>
    <row r="3696" spans="2:16" x14ac:dyDescent="0.25">
      <c r="B3696" s="336" t="s">
        <v>416</v>
      </c>
      <c r="C3696" s="337">
        <v>39049</v>
      </c>
      <c r="D3696" s="338" t="s">
        <v>2829</v>
      </c>
      <c r="E3696" s="336" t="s">
        <v>2828</v>
      </c>
      <c r="F3696" s="338"/>
      <c r="G3696" s="338" t="s">
        <v>413</v>
      </c>
      <c r="H3696" s="338" t="s">
        <v>425</v>
      </c>
      <c r="I3696" s="338" t="s">
        <v>411</v>
      </c>
      <c r="J3696" s="339"/>
      <c r="K3696" s="339"/>
      <c r="L3696" s="339" t="s">
        <v>409</v>
      </c>
      <c r="M3696" s="339" t="s">
        <v>409</v>
      </c>
      <c r="N3696" s="338" t="s">
        <v>417</v>
      </c>
      <c r="O3696" s="338" t="s">
        <v>409</v>
      </c>
      <c r="P3696" s="338" t="s">
        <v>443</v>
      </c>
    </row>
    <row r="3697" spans="2:16" x14ac:dyDescent="0.25">
      <c r="B3697" s="336" t="s">
        <v>416</v>
      </c>
      <c r="C3697" s="337">
        <v>39049</v>
      </c>
      <c r="D3697" s="338" t="s">
        <v>2827</v>
      </c>
      <c r="E3697" s="336" t="s">
        <v>1951</v>
      </c>
      <c r="F3697" s="338"/>
      <c r="G3697" s="338" t="s">
        <v>413</v>
      </c>
      <c r="H3697" s="338" t="s">
        <v>425</v>
      </c>
      <c r="I3697" s="338" t="s">
        <v>411</v>
      </c>
      <c r="J3697" s="339"/>
      <c r="K3697" s="339"/>
      <c r="L3697" s="339" t="s">
        <v>409</v>
      </c>
      <c r="M3697" s="339" t="s">
        <v>409</v>
      </c>
      <c r="N3697" s="338"/>
      <c r="O3697" s="338" t="s">
        <v>409</v>
      </c>
      <c r="P3697" s="338" t="s">
        <v>417</v>
      </c>
    </row>
    <row r="3698" spans="2:16" x14ac:dyDescent="0.25">
      <c r="B3698" s="336" t="s">
        <v>416</v>
      </c>
      <c r="C3698" s="337">
        <v>39049</v>
      </c>
      <c r="D3698" s="338" t="s">
        <v>2826</v>
      </c>
      <c r="E3698" s="336" t="s">
        <v>2825</v>
      </c>
      <c r="F3698" s="338"/>
      <c r="G3698" s="338" t="s">
        <v>413</v>
      </c>
      <c r="H3698" s="338" t="s">
        <v>425</v>
      </c>
      <c r="I3698" s="338" t="s">
        <v>411</v>
      </c>
      <c r="J3698" s="339"/>
      <c r="K3698" s="339"/>
      <c r="L3698" s="339" t="s">
        <v>409</v>
      </c>
      <c r="M3698" s="339" t="s">
        <v>409</v>
      </c>
      <c r="N3698" s="338"/>
      <c r="O3698" s="338" t="s">
        <v>409</v>
      </c>
      <c r="P3698" s="338" t="s">
        <v>443</v>
      </c>
    </row>
    <row r="3699" spans="2:16" x14ac:dyDescent="0.25">
      <c r="B3699" s="336" t="s">
        <v>416</v>
      </c>
      <c r="C3699" s="337">
        <v>39048</v>
      </c>
      <c r="D3699" s="338" t="s">
        <v>2824</v>
      </c>
      <c r="E3699" s="336" t="s">
        <v>1617</v>
      </c>
      <c r="F3699" s="338"/>
      <c r="G3699" s="338" t="s">
        <v>413</v>
      </c>
      <c r="H3699" s="338" t="s">
        <v>425</v>
      </c>
      <c r="I3699" s="338" t="s">
        <v>411</v>
      </c>
      <c r="J3699" s="339"/>
      <c r="K3699" s="339"/>
      <c r="L3699" s="339" t="s">
        <v>409</v>
      </c>
      <c r="M3699" s="339" t="s">
        <v>409</v>
      </c>
      <c r="N3699" s="338"/>
      <c r="O3699" s="338" t="s">
        <v>409</v>
      </c>
      <c r="P3699" s="338" t="s">
        <v>417</v>
      </c>
    </row>
    <row r="3700" spans="2:16" x14ac:dyDescent="0.25">
      <c r="B3700" s="336" t="s">
        <v>416</v>
      </c>
      <c r="C3700" s="337">
        <v>39048</v>
      </c>
      <c r="D3700" s="338" t="s">
        <v>2823</v>
      </c>
      <c r="E3700" s="336" t="s">
        <v>2822</v>
      </c>
      <c r="F3700" s="338"/>
      <c r="G3700" s="338" t="s">
        <v>413</v>
      </c>
      <c r="H3700" s="338" t="s">
        <v>412</v>
      </c>
      <c r="I3700" s="338" t="s">
        <v>411</v>
      </c>
      <c r="J3700" s="339"/>
      <c r="K3700" s="339"/>
      <c r="L3700" s="339" t="s">
        <v>409</v>
      </c>
      <c r="M3700" s="339" t="s">
        <v>409</v>
      </c>
      <c r="N3700" s="338" t="s">
        <v>410</v>
      </c>
      <c r="O3700" s="338" t="s">
        <v>409</v>
      </c>
      <c r="P3700" s="338" t="s">
        <v>410</v>
      </c>
    </row>
    <row r="3701" spans="2:16" x14ac:dyDescent="0.25">
      <c r="B3701" s="336" t="s">
        <v>416</v>
      </c>
      <c r="C3701" s="337">
        <v>39048</v>
      </c>
      <c r="D3701" s="338" t="s">
        <v>2821</v>
      </c>
      <c r="E3701" s="336" t="s">
        <v>2820</v>
      </c>
      <c r="F3701" s="338"/>
      <c r="G3701" s="338" t="s">
        <v>413</v>
      </c>
      <c r="H3701" s="338" t="s">
        <v>412</v>
      </c>
      <c r="I3701" s="338" t="s">
        <v>411</v>
      </c>
      <c r="J3701" s="339"/>
      <c r="K3701" s="339"/>
      <c r="L3701" s="339" t="s">
        <v>409</v>
      </c>
      <c r="M3701" s="339" t="s">
        <v>409</v>
      </c>
      <c r="N3701" s="338" t="s">
        <v>417</v>
      </c>
      <c r="O3701" s="338" t="s">
        <v>409</v>
      </c>
      <c r="P3701" s="338" t="s">
        <v>417</v>
      </c>
    </row>
    <row r="3702" spans="2:16" x14ac:dyDescent="0.25">
      <c r="B3702" s="336" t="s">
        <v>416</v>
      </c>
      <c r="C3702" s="337">
        <v>39045</v>
      </c>
      <c r="D3702" s="338" t="s">
        <v>2819</v>
      </c>
      <c r="E3702" s="336" t="s">
        <v>2818</v>
      </c>
      <c r="F3702" s="338"/>
      <c r="G3702" s="338">
        <v>48.69</v>
      </c>
      <c r="H3702" s="338" t="s">
        <v>425</v>
      </c>
      <c r="I3702" s="338" t="s">
        <v>411</v>
      </c>
      <c r="J3702" s="339"/>
      <c r="K3702" s="339"/>
      <c r="L3702" s="339" t="s">
        <v>409</v>
      </c>
      <c r="M3702" s="339" t="s">
        <v>409</v>
      </c>
      <c r="N3702" s="338" t="s">
        <v>417</v>
      </c>
      <c r="O3702" s="338" t="s">
        <v>409</v>
      </c>
      <c r="P3702" s="338" t="s">
        <v>543</v>
      </c>
    </row>
    <row r="3703" spans="2:16" x14ac:dyDescent="0.25">
      <c r="B3703" s="336" t="s">
        <v>416</v>
      </c>
      <c r="C3703" s="337">
        <v>39043</v>
      </c>
      <c r="D3703" s="338" t="s">
        <v>2817</v>
      </c>
      <c r="E3703" s="336" t="s">
        <v>2816</v>
      </c>
      <c r="F3703" s="338"/>
      <c r="G3703" s="338" t="s">
        <v>413</v>
      </c>
      <c r="H3703" s="338" t="s">
        <v>336</v>
      </c>
      <c r="I3703" s="338" t="s">
        <v>411</v>
      </c>
      <c r="J3703" s="339"/>
      <c r="K3703" s="339"/>
      <c r="L3703" s="339" t="s">
        <v>409</v>
      </c>
      <c r="M3703" s="339" t="s">
        <v>409</v>
      </c>
      <c r="N3703" s="338" t="s">
        <v>417</v>
      </c>
      <c r="O3703" s="338" t="s">
        <v>409</v>
      </c>
      <c r="P3703" s="338" t="s">
        <v>417</v>
      </c>
    </row>
    <row r="3704" spans="2:16" x14ac:dyDescent="0.25">
      <c r="B3704" s="336" t="s">
        <v>416</v>
      </c>
      <c r="C3704" s="337">
        <v>39043</v>
      </c>
      <c r="D3704" s="338" t="s">
        <v>2815</v>
      </c>
      <c r="E3704" s="336" t="s">
        <v>2023</v>
      </c>
      <c r="F3704" s="338"/>
      <c r="G3704" s="338">
        <v>417</v>
      </c>
      <c r="H3704" s="338" t="s">
        <v>429</v>
      </c>
      <c r="I3704" s="338" t="s">
        <v>411</v>
      </c>
      <c r="J3704" s="339"/>
      <c r="K3704" s="339"/>
      <c r="L3704" s="339" t="s">
        <v>409</v>
      </c>
      <c r="M3704" s="339" t="s">
        <v>409</v>
      </c>
      <c r="N3704" s="338" t="s">
        <v>417</v>
      </c>
      <c r="O3704" s="338" t="s">
        <v>409</v>
      </c>
      <c r="P3704" s="338" t="s">
        <v>443</v>
      </c>
    </row>
    <row r="3705" spans="2:16" x14ac:dyDescent="0.25">
      <c r="B3705" s="336" t="s">
        <v>416</v>
      </c>
      <c r="C3705" s="337">
        <v>39043</v>
      </c>
      <c r="D3705" s="338" t="s">
        <v>2814</v>
      </c>
      <c r="E3705" s="336" t="s">
        <v>928</v>
      </c>
      <c r="F3705" s="338"/>
      <c r="G3705" s="338">
        <v>29.9</v>
      </c>
      <c r="H3705" s="338" t="s">
        <v>425</v>
      </c>
      <c r="I3705" s="338" t="s">
        <v>411</v>
      </c>
      <c r="J3705" s="339"/>
      <c r="K3705" s="339"/>
      <c r="L3705" s="339" t="s">
        <v>409</v>
      </c>
      <c r="M3705" s="339" t="s">
        <v>409</v>
      </c>
      <c r="N3705" s="338" t="s">
        <v>417</v>
      </c>
      <c r="O3705" s="338" t="s">
        <v>409</v>
      </c>
      <c r="P3705" s="338" t="s">
        <v>417</v>
      </c>
    </row>
    <row r="3706" spans="2:16" x14ac:dyDescent="0.25">
      <c r="B3706" s="336" t="s">
        <v>542</v>
      </c>
      <c r="C3706" s="337">
        <v>39042</v>
      </c>
      <c r="D3706" s="338" t="s">
        <v>801</v>
      </c>
      <c r="E3706" s="336" t="s">
        <v>539</v>
      </c>
      <c r="F3706" s="338"/>
      <c r="G3706" s="338">
        <v>142.5</v>
      </c>
      <c r="H3706" s="338"/>
      <c r="I3706" s="338" t="s">
        <v>411</v>
      </c>
      <c r="J3706" s="339">
        <v>1.69892</v>
      </c>
      <c r="K3706" s="339">
        <v>10.0753</v>
      </c>
      <c r="L3706" s="339" t="s">
        <v>409</v>
      </c>
      <c r="M3706" s="339" t="s">
        <v>409</v>
      </c>
      <c r="N3706" s="338" t="s">
        <v>417</v>
      </c>
      <c r="O3706" s="338" t="s">
        <v>409</v>
      </c>
      <c r="P3706" s="338" t="s">
        <v>417</v>
      </c>
    </row>
    <row r="3707" spans="2:16" x14ac:dyDescent="0.25">
      <c r="B3707" s="336" t="s">
        <v>416</v>
      </c>
      <c r="C3707" s="337">
        <v>39042</v>
      </c>
      <c r="D3707" s="338" t="s">
        <v>2813</v>
      </c>
      <c r="E3707" s="336" t="s">
        <v>453</v>
      </c>
      <c r="F3707" s="338"/>
      <c r="G3707" s="338" t="s">
        <v>413</v>
      </c>
      <c r="H3707" s="338" t="s">
        <v>425</v>
      </c>
      <c r="I3707" s="338" t="s">
        <v>411</v>
      </c>
      <c r="J3707" s="339">
        <v>1.23702</v>
      </c>
      <c r="K3707" s="339"/>
      <c r="L3707" s="339" t="s">
        <v>409</v>
      </c>
      <c r="M3707" s="339" t="s">
        <v>409</v>
      </c>
      <c r="N3707" s="338" t="s">
        <v>417</v>
      </c>
      <c r="O3707" s="338" t="s">
        <v>409</v>
      </c>
      <c r="P3707" s="338" t="s">
        <v>443</v>
      </c>
    </row>
    <row r="3708" spans="2:16" x14ac:dyDescent="0.25">
      <c r="B3708" s="336" t="s">
        <v>416</v>
      </c>
      <c r="C3708" s="337">
        <v>39041</v>
      </c>
      <c r="D3708" s="338" t="s">
        <v>2812</v>
      </c>
      <c r="E3708" s="336" t="s">
        <v>2811</v>
      </c>
      <c r="F3708" s="338"/>
      <c r="G3708" s="338" t="s">
        <v>413</v>
      </c>
      <c r="H3708" s="338" t="s">
        <v>336</v>
      </c>
      <c r="I3708" s="338" t="s">
        <v>411</v>
      </c>
      <c r="J3708" s="339"/>
      <c r="K3708" s="339"/>
      <c r="L3708" s="339" t="s">
        <v>409</v>
      </c>
      <c r="M3708" s="339" t="s">
        <v>409</v>
      </c>
      <c r="N3708" s="338" t="s">
        <v>417</v>
      </c>
      <c r="O3708" s="338" t="s">
        <v>409</v>
      </c>
      <c r="P3708" s="338" t="s">
        <v>417</v>
      </c>
    </row>
    <row r="3709" spans="2:16" x14ac:dyDescent="0.25">
      <c r="B3709" s="336" t="s">
        <v>416</v>
      </c>
      <c r="C3709" s="337">
        <v>39041</v>
      </c>
      <c r="D3709" s="338" t="s">
        <v>938</v>
      </c>
      <c r="E3709" s="336" t="s">
        <v>2810</v>
      </c>
      <c r="F3709" s="338"/>
      <c r="G3709" s="338">
        <v>1.29</v>
      </c>
      <c r="H3709" s="338" t="s">
        <v>425</v>
      </c>
      <c r="I3709" s="338" t="s">
        <v>411</v>
      </c>
      <c r="J3709" s="339">
        <v>0.23078000000000001</v>
      </c>
      <c r="K3709" s="339">
        <v>14.2521</v>
      </c>
      <c r="L3709" s="339" t="s">
        <v>409</v>
      </c>
      <c r="M3709" s="339" t="s">
        <v>409</v>
      </c>
      <c r="N3709" s="338" t="s">
        <v>417</v>
      </c>
      <c r="O3709" s="338" t="s">
        <v>409</v>
      </c>
      <c r="P3709" s="338" t="s">
        <v>443</v>
      </c>
    </row>
    <row r="3710" spans="2:16" x14ac:dyDescent="0.25">
      <c r="B3710" s="336" t="s">
        <v>416</v>
      </c>
      <c r="C3710" s="337">
        <v>39041</v>
      </c>
      <c r="D3710" s="338" t="s">
        <v>2809</v>
      </c>
      <c r="E3710" s="336" t="s">
        <v>2560</v>
      </c>
      <c r="F3710" s="338"/>
      <c r="G3710" s="338" t="s">
        <v>413</v>
      </c>
      <c r="H3710" s="338" t="s">
        <v>412</v>
      </c>
      <c r="I3710" s="338" t="s">
        <v>411</v>
      </c>
      <c r="J3710" s="339"/>
      <c r="K3710" s="339"/>
      <c r="L3710" s="339" t="s">
        <v>409</v>
      </c>
      <c r="M3710" s="339" t="s">
        <v>409</v>
      </c>
      <c r="N3710" s="338" t="s">
        <v>432</v>
      </c>
      <c r="O3710" s="338" t="s">
        <v>409</v>
      </c>
      <c r="P3710" s="338" t="s">
        <v>432</v>
      </c>
    </row>
    <row r="3711" spans="2:16" x14ac:dyDescent="0.25">
      <c r="B3711" s="336" t="s">
        <v>416</v>
      </c>
      <c r="C3711" s="337">
        <v>39038</v>
      </c>
      <c r="D3711" s="338" t="s">
        <v>2808</v>
      </c>
      <c r="E3711" s="336" t="s">
        <v>2807</v>
      </c>
      <c r="F3711" s="338" t="s">
        <v>980</v>
      </c>
      <c r="G3711" s="338">
        <v>100</v>
      </c>
      <c r="H3711" s="338" t="s">
        <v>425</v>
      </c>
      <c r="I3711" s="338" t="s">
        <v>411</v>
      </c>
      <c r="J3711" s="339"/>
      <c r="K3711" s="339"/>
      <c r="L3711" s="339">
        <v>0.87109899999999996</v>
      </c>
      <c r="M3711" s="339">
        <v>6.4264900000000003</v>
      </c>
      <c r="N3711" s="338" t="s">
        <v>417</v>
      </c>
      <c r="O3711" s="338" t="s">
        <v>417</v>
      </c>
      <c r="P3711" s="338" t="s">
        <v>417</v>
      </c>
    </row>
    <row r="3712" spans="2:16" x14ac:dyDescent="0.25">
      <c r="B3712" s="336" t="s">
        <v>416</v>
      </c>
      <c r="C3712" s="337">
        <v>39038</v>
      </c>
      <c r="D3712" s="338" t="s">
        <v>2228</v>
      </c>
      <c r="E3712" s="336" t="s">
        <v>2806</v>
      </c>
      <c r="F3712" s="338" t="s">
        <v>2227</v>
      </c>
      <c r="G3712" s="338">
        <v>21.02</v>
      </c>
      <c r="H3712" s="338" t="s">
        <v>429</v>
      </c>
      <c r="I3712" s="338" t="s">
        <v>411</v>
      </c>
      <c r="J3712" s="339"/>
      <c r="K3712" s="339"/>
      <c r="L3712" s="339"/>
      <c r="M3712" s="339"/>
      <c r="N3712" s="338" t="s">
        <v>417</v>
      </c>
      <c r="O3712" s="338" t="s">
        <v>417</v>
      </c>
      <c r="P3712" s="338" t="s">
        <v>543</v>
      </c>
    </row>
    <row r="3713" spans="2:16" x14ac:dyDescent="0.25">
      <c r="B3713" s="336" t="s">
        <v>416</v>
      </c>
      <c r="C3713" s="337">
        <v>39038</v>
      </c>
      <c r="D3713" s="338" t="s">
        <v>2805</v>
      </c>
      <c r="E3713" s="336" t="s">
        <v>2804</v>
      </c>
      <c r="F3713" s="338" t="s">
        <v>980</v>
      </c>
      <c r="G3713" s="338">
        <v>750</v>
      </c>
      <c r="H3713" s="338" t="s">
        <v>425</v>
      </c>
      <c r="I3713" s="338" t="s">
        <v>411</v>
      </c>
      <c r="J3713" s="339"/>
      <c r="K3713" s="339"/>
      <c r="L3713" s="339">
        <v>0.87109899999999996</v>
      </c>
      <c r="M3713" s="339">
        <v>6.4264900000000003</v>
      </c>
      <c r="N3713" s="338"/>
      <c r="O3713" s="338" t="s">
        <v>417</v>
      </c>
      <c r="P3713" s="338"/>
    </row>
    <row r="3714" spans="2:16" x14ac:dyDescent="0.25">
      <c r="B3714" s="336" t="s">
        <v>416</v>
      </c>
      <c r="C3714" s="337">
        <v>39038</v>
      </c>
      <c r="D3714" s="338" t="s">
        <v>802</v>
      </c>
      <c r="E3714" s="336" t="s">
        <v>669</v>
      </c>
      <c r="F3714" s="338" t="s">
        <v>1776</v>
      </c>
      <c r="G3714" s="338">
        <v>29.6</v>
      </c>
      <c r="H3714" s="338" t="s">
        <v>425</v>
      </c>
      <c r="I3714" s="338" t="s">
        <v>411</v>
      </c>
      <c r="J3714" s="339"/>
      <c r="K3714" s="339"/>
      <c r="L3714" s="339"/>
      <c r="M3714" s="339"/>
      <c r="N3714" s="338"/>
      <c r="O3714" s="338" t="s">
        <v>417</v>
      </c>
      <c r="P3714" s="338"/>
    </row>
    <row r="3715" spans="2:16" x14ac:dyDescent="0.25">
      <c r="B3715" s="336" t="s">
        <v>416</v>
      </c>
      <c r="C3715" s="337">
        <v>39037</v>
      </c>
      <c r="D3715" s="338" t="s">
        <v>2803</v>
      </c>
      <c r="E3715" s="336" t="s">
        <v>2802</v>
      </c>
      <c r="F3715" s="338"/>
      <c r="G3715" s="338" t="s">
        <v>413</v>
      </c>
      <c r="H3715" s="338" t="s">
        <v>412</v>
      </c>
      <c r="I3715" s="338" t="s">
        <v>411</v>
      </c>
      <c r="J3715" s="339"/>
      <c r="K3715" s="339"/>
      <c r="L3715" s="339" t="s">
        <v>409</v>
      </c>
      <c r="M3715" s="339" t="s">
        <v>409</v>
      </c>
      <c r="N3715" s="338" t="s">
        <v>417</v>
      </c>
      <c r="O3715" s="338" t="s">
        <v>409</v>
      </c>
      <c r="P3715" s="338" t="s">
        <v>417</v>
      </c>
    </row>
    <row r="3716" spans="2:16" x14ac:dyDescent="0.25">
      <c r="B3716" s="336" t="s">
        <v>416</v>
      </c>
      <c r="C3716" s="337">
        <v>39037</v>
      </c>
      <c r="D3716" s="338" t="s">
        <v>2801</v>
      </c>
      <c r="E3716" s="336" t="s">
        <v>477</v>
      </c>
      <c r="F3716" s="338"/>
      <c r="G3716" s="338">
        <v>9.3000000000000007</v>
      </c>
      <c r="H3716" s="338" t="s">
        <v>425</v>
      </c>
      <c r="I3716" s="338" t="s">
        <v>411</v>
      </c>
      <c r="J3716" s="339"/>
      <c r="K3716" s="339"/>
      <c r="L3716" s="339" t="s">
        <v>409</v>
      </c>
      <c r="M3716" s="339" t="s">
        <v>409</v>
      </c>
      <c r="N3716" s="338" t="s">
        <v>417</v>
      </c>
      <c r="O3716" s="338" t="s">
        <v>409</v>
      </c>
      <c r="P3716" s="338" t="s">
        <v>417</v>
      </c>
    </row>
    <row r="3717" spans="2:16" x14ac:dyDescent="0.25">
      <c r="B3717" s="336" t="s">
        <v>416</v>
      </c>
      <c r="C3717" s="337">
        <v>39037</v>
      </c>
      <c r="D3717" s="338" t="s">
        <v>2800</v>
      </c>
      <c r="E3717" s="336" t="s">
        <v>2799</v>
      </c>
      <c r="F3717" s="338"/>
      <c r="G3717" s="338" t="s">
        <v>413</v>
      </c>
      <c r="H3717" s="338" t="s">
        <v>412</v>
      </c>
      <c r="I3717" s="338" t="s">
        <v>411</v>
      </c>
      <c r="J3717" s="339"/>
      <c r="K3717" s="339"/>
      <c r="L3717" s="339" t="s">
        <v>409</v>
      </c>
      <c r="M3717" s="339" t="s">
        <v>409</v>
      </c>
      <c r="N3717" s="338" t="s">
        <v>432</v>
      </c>
      <c r="O3717" s="338" t="s">
        <v>409</v>
      </c>
      <c r="P3717" s="338" t="s">
        <v>410</v>
      </c>
    </row>
    <row r="3718" spans="2:16" x14ac:dyDescent="0.25">
      <c r="B3718" s="336" t="s">
        <v>459</v>
      </c>
      <c r="C3718" s="337">
        <v>39037</v>
      </c>
      <c r="D3718" s="338" t="s">
        <v>2798</v>
      </c>
      <c r="E3718" s="336" t="s">
        <v>2797</v>
      </c>
      <c r="F3718" s="338"/>
      <c r="G3718" s="338" t="s">
        <v>413</v>
      </c>
      <c r="H3718" s="338" t="s">
        <v>425</v>
      </c>
      <c r="I3718" s="338" t="s">
        <v>411</v>
      </c>
      <c r="J3718" s="339"/>
      <c r="K3718" s="339"/>
      <c r="L3718" s="339" t="s">
        <v>409</v>
      </c>
      <c r="M3718" s="339" t="s">
        <v>409</v>
      </c>
      <c r="N3718" s="338" t="s">
        <v>410</v>
      </c>
      <c r="O3718" s="338" t="s">
        <v>409</v>
      </c>
      <c r="P3718" s="338"/>
    </row>
    <row r="3719" spans="2:16" x14ac:dyDescent="0.25">
      <c r="B3719" s="336" t="s">
        <v>416</v>
      </c>
      <c r="C3719" s="337">
        <v>39037</v>
      </c>
      <c r="D3719" s="338" t="s">
        <v>2796</v>
      </c>
      <c r="E3719" s="336" t="s">
        <v>2795</v>
      </c>
      <c r="F3719" s="338" t="s">
        <v>1024</v>
      </c>
      <c r="G3719" s="338" t="s">
        <v>413</v>
      </c>
      <c r="H3719" s="338" t="s">
        <v>425</v>
      </c>
      <c r="I3719" s="338" t="s">
        <v>411</v>
      </c>
      <c r="J3719" s="339"/>
      <c r="K3719" s="339"/>
      <c r="L3719" s="339"/>
      <c r="M3719" s="339"/>
      <c r="N3719" s="338" t="s">
        <v>417</v>
      </c>
      <c r="O3719" s="338" t="s">
        <v>443</v>
      </c>
      <c r="P3719" s="338" t="s">
        <v>443</v>
      </c>
    </row>
    <row r="3720" spans="2:16" x14ac:dyDescent="0.25">
      <c r="B3720" s="336" t="s">
        <v>416</v>
      </c>
      <c r="C3720" s="337">
        <v>39036</v>
      </c>
      <c r="D3720" s="338" t="s">
        <v>2794</v>
      </c>
      <c r="E3720" s="336" t="s">
        <v>2793</v>
      </c>
      <c r="F3720" s="338" t="s">
        <v>2792</v>
      </c>
      <c r="G3720" s="338" t="s">
        <v>413</v>
      </c>
      <c r="H3720" s="338" t="s">
        <v>412</v>
      </c>
      <c r="I3720" s="338" t="s">
        <v>411</v>
      </c>
      <c r="J3720" s="339"/>
      <c r="K3720" s="339"/>
      <c r="L3720" s="339"/>
      <c r="M3720" s="339"/>
      <c r="N3720" s="338"/>
      <c r="O3720" s="338" t="s">
        <v>417</v>
      </c>
      <c r="P3720" s="338" t="s">
        <v>417</v>
      </c>
    </row>
    <row r="3721" spans="2:16" x14ac:dyDescent="0.25">
      <c r="B3721" s="336" t="s">
        <v>416</v>
      </c>
      <c r="C3721" s="337">
        <v>39036</v>
      </c>
      <c r="D3721" s="338" t="s">
        <v>2791</v>
      </c>
      <c r="E3721" s="336" t="s">
        <v>2790</v>
      </c>
      <c r="F3721" s="338"/>
      <c r="G3721" s="338" t="s">
        <v>413</v>
      </c>
      <c r="H3721" s="338" t="s">
        <v>412</v>
      </c>
      <c r="I3721" s="338" t="s">
        <v>411</v>
      </c>
      <c r="J3721" s="339"/>
      <c r="K3721" s="339"/>
      <c r="L3721" s="339" t="s">
        <v>409</v>
      </c>
      <c r="M3721" s="339" t="s">
        <v>409</v>
      </c>
      <c r="N3721" s="338" t="s">
        <v>410</v>
      </c>
      <c r="O3721" s="338" t="s">
        <v>409</v>
      </c>
      <c r="P3721" s="338"/>
    </row>
    <row r="3722" spans="2:16" x14ac:dyDescent="0.25">
      <c r="B3722" s="336" t="s">
        <v>416</v>
      </c>
      <c r="C3722" s="337">
        <v>39036</v>
      </c>
      <c r="D3722" s="338" t="s">
        <v>2789</v>
      </c>
      <c r="E3722" s="336" t="s">
        <v>2788</v>
      </c>
      <c r="F3722" s="338"/>
      <c r="G3722" s="338" t="s">
        <v>413</v>
      </c>
      <c r="H3722" s="338" t="s">
        <v>412</v>
      </c>
      <c r="I3722" s="338" t="s">
        <v>411</v>
      </c>
      <c r="J3722" s="339"/>
      <c r="K3722" s="339"/>
      <c r="L3722" s="339" t="s">
        <v>409</v>
      </c>
      <c r="M3722" s="339" t="s">
        <v>409</v>
      </c>
      <c r="N3722" s="338" t="s">
        <v>432</v>
      </c>
      <c r="O3722" s="338" t="s">
        <v>409</v>
      </c>
      <c r="P3722" s="338" t="s">
        <v>417</v>
      </c>
    </row>
    <row r="3723" spans="2:16" x14ac:dyDescent="0.25">
      <c r="B3723" s="336" t="s">
        <v>416</v>
      </c>
      <c r="C3723" s="337">
        <v>39036</v>
      </c>
      <c r="D3723" s="338" t="s">
        <v>2787</v>
      </c>
      <c r="E3723" s="336" t="s">
        <v>546</v>
      </c>
      <c r="F3723" s="338"/>
      <c r="G3723" s="338">
        <v>543.53</v>
      </c>
      <c r="H3723" s="338" t="s">
        <v>425</v>
      </c>
      <c r="I3723" s="338" t="s">
        <v>411</v>
      </c>
      <c r="J3723" s="339">
        <v>0.86684000000000005</v>
      </c>
      <c r="K3723" s="339">
        <v>5.6978600000000004</v>
      </c>
      <c r="L3723" s="339" t="s">
        <v>409</v>
      </c>
      <c r="M3723" s="339" t="s">
        <v>409</v>
      </c>
      <c r="N3723" s="338" t="s">
        <v>417</v>
      </c>
      <c r="O3723" s="338" t="s">
        <v>409</v>
      </c>
      <c r="P3723" s="338" t="s">
        <v>417</v>
      </c>
    </row>
    <row r="3724" spans="2:16" x14ac:dyDescent="0.25">
      <c r="B3724" s="336" t="s">
        <v>416</v>
      </c>
      <c r="C3724" s="337">
        <v>39036</v>
      </c>
      <c r="D3724" s="338" t="s">
        <v>2786</v>
      </c>
      <c r="E3724" s="336" t="s">
        <v>2785</v>
      </c>
      <c r="F3724" s="338" t="s">
        <v>2784</v>
      </c>
      <c r="G3724" s="338">
        <v>47</v>
      </c>
      <c r="H3724" s="338" t="s">
        <v>425</v>
      </c>
      <c r="I3724" s="338" t="s">
        <v>411</v>
      </c>
      <c r="J3724" s="339"/>
      <c r="K3724" s="339"/>
      <c r="L3724" s="339"/>
      <c r="M3724" s="339"/>
      <c r="N3724" s="338"/>
      <c r="O3724" s="338" t="s">
        <v>417</v>
      </c>
      <c r="P3724" s="338" t="s">
        <v>487</v>
      </c>
    </row>
    <row r="3725" spans="2:16" x14ac:dyDescent="0.25">
      <c r="B3725" s="336" t="s">
        <v>416</v>
      </c>
      <c r="C3725" s="337">
        <v>39035</v>
      </c>
      <c r="D3725" s="338" t="s">
        <v>2783</v>
      </c>
      <c r="E3725" s="336" t="s">
        <v>669</v>
      </c>
      <c r="F3725" s="338" t="s">
        <v>2782</v>
      </c>
      <c r="G3725" s="338" t="s">
        <v>413</v>
      </c>
      <c r="H3725" s="338" t="s">
        <v>425</v>
      </c>
      <c r="I3725" s="338" t="s">
        <v>411</v>
      </c>
      <c r="J3725" s="339"/>
      <c r="K3725" s="339"/>
      <c r="L3725" s="339"/>
      <c r="M3725" s="339"/>
      <c r="N3725" s="338"/>
      <c r="O3725" s="338" t="s">
        <v>417</v>
      </c>
      <c r="P3725" s="338"/>
    </row>
    <row r="3726" spans="2:16" x14ac:dyDescent="0.25">
      <c r="B3726" s="336" t="s">
        <v>416</v>
      </c>
      <c r="C3726" s="337">
        <v>39035</v>
      </c>
      <c r="D3726" s="338" t="s">
        <v>2781</v>
      </c>
      <c r="E3726" s="336" t="s">
        <v>2780</v>
      </c>
      <c r="F3726" s="338"/>
      <c r="G3726" s="338">
        <v>26.65</v>
      </c>
      <c r="H3726" s="338" t="s">
        <v>429</v>
      </c>
      <c r="I3726" s="338" t="s">
        <v>411</v>
      </c>
      <c r="J3726" s="339"/>
      <c r="K3726" s="339"/>
      <c r="L3726" s="339" t="s">
        <v>409</v>
      </c>
      <c r="M3726" s="339" t="s">
        <v>409</v>
      </c>
      <c r="N3726" s="338" t="s">
        <v>410</v>
      </c>
      <c r="O3726" s="338" t="s">
        <v>409</v>
      </c>
      <c r="P3726" s="338" t="s">
        <v>410</v>
      </c>
    </row>
    <row r="3727" spans="2:16" x14ac:dyDescent="0.25">
      <c r="B3727" s="336" t="s">
        <v>416</v>
      </c>
      <c r="C3727" s="337">
        <v>39035</v>
      </c>
      <c r="D3727" s="338" t="s">
        <v>2779</v>
      </c>
      <c r="E3727" s="336" t="s">
        <v>2778</v>
      </c>
      <c r="F3727" s="338" t="s">
        <v>2777</v>
      </c>
      <c r="G3727" s="338" t="s">
        <v>413</v>
      </c>
      <c r="H3727" s="338" t="s">
        <v>425</v>
      </c>
      <c r="I3727" s="338" t="s">
        <v>411</v>
      </c>
      <c r="J3727" s="339"/>
      <c r="K3727" s="339"/>
      <c r="L3727" s="339"/>
      <c r="M3727" s="339"/>
      <c r="N3727" s="338"/>
      <c r="O3727" s="338" t="s">
        <v>443</v>
      </c>
      <c r="P3727" s="338" t="s">
        <v>410</v>
      </c>
    </row>
    <row r="3728" spans="2:16" x14ac:dyDescent="0.25">
      <c r="B3728" s="336" t="s">
        <v>416</v>
      </c>
      <c r="C3728" s="337">
        <v>39034</v>
      </c>
      <c r="D3728" s="338" t="s">
        <v>2776</v>
      </c>
      <c r="E3728" s="336" t="s">
        <v>1572</v>
      </c>
      <c r="F3728" s="338"/>
      <c r="G3728" s="338" t="s">
        <v>413</v>
      </c>
      <c r="H3728" s="338" t="s">
        <v>412</v>
      </c>
      <c r="I3728" s="338" t="s">
        <v>411</v>
      </c>
      <c r="J3728" s="339"/>
      <c r="K3728" s="339"/>
      <c r="L3728" s="339" t="s">
        <v>409</v>
      </c>
      <c r="M3728" s="339" t="s">
        <v>409</v>
      </c>
      <c r="N3728" s="338" t="s">
        <v>410</v>
      </c>
      <c r="O3728" s="338" t="s">
        <v>409</v>
      </c>
      <c r="P3728" s="338" t="s">
        <v>417</v>
      </c>
    </row>
    <row r="3729" spans="2:16" x14ac:dyDescent="0.25">
      <c r="B3729" s="336" t="s">
        <v>416</v>
      </c>
      <c r="C3729" s="337">
        <v>39034</v>
      </c>
      <c r="D3729" s="338" t="s">
        <v>1991</v>
      </c>
      <c r="E3729" s="336" t="s">
        <v>2775</v>
      </c>
      <c r="F3729" s="338"/>
      <c r="G3729" s="338">
        <v>206.21</v>
      </c>
      <c r="H3729" s="338" t="s">
        <v>425</v>
      </c>
      <c r="I3729" s="338" t="s">
        <v>411</v>
      </c>
      <c r="J3729" s="339">
        <v>0.79951099999999997</v>
      </c>
      <c r="K3729" s="339">
        <v>11.3064</v>
      </c>
      <c r="L3729" s="339" t="s">
        <v>409</v>
      </c>
      <c r="M3729" s="339" t="s">
        <v>409</v>
      </c>
      <c r="N3729" s="338" t="s">
        <v>417</v>
      </c>
      <c r="O3729" s="338" t="s">
        <v>409</v>
      </c>
      <c r="P3729" s="338" t="s">
        <v>417</v>
      </c>
    </row>
    <row r="3730" spans="2:16" x14ac:dyDescent="0.25">
      <c r="B3730" s="336" t="s">
        <v>416</v>
      </c>
      <c r="C3730" s="337">
        <v>39031</v>
      </c>
      <c r="D3730" s="338" t="s">
        <v>2774</v>
      </c>
      <c r="E3730" s="336" t="s">
        <v>1951</v>
      </c>
      <c r="F3730" s="338"/>
      <c r="G3730" s="338" t="s">
        <v>413</v>
      </c>
      <c r="H3730" s="338" t="s">
        <v>425</v>
      </c>
      <c r="I3730" s="338" t="s">
        <v>411</v>
      </c>
      <c r="J3730" s="339"/>
      <c r="K3730" s="339"/>
      <c r="L3730" s="339" t="s">
        <v>409</v>
      </c>
      <c r="M3730" s="339" t="s">
        <v>409</v>
      </c>
      <c r="N3730" s="338"/>
      <c r="O3730" s="338" t="s">
        <v>409</v>
      </c>
      <c r="P3730" s="338" t="s">
        <v>417</v>
      </c>
    </row>
    <row r="3731" spans="2:16" x14ac:dyDescent="0.25">
      <c r="B3731" s="336" t="s">
        <v>459</v>
      </c>
      <c r="C3731" s="337">
        <v>39030</v>
      </c>
      <c r="D3731" s="338" t="s">
        <v>2773</v>
      </c>
      <c r="E3731" s="336" t="s">
        <v>514</v>
      </c>
      <c r="F3731" s="338"/>
      <c r="G3731" s="338" t="s">
        <v>413</v>
      </c>
      <c r="H3731" s="338" t="s">
        <v>425</v>
      </c>
      <c r="I3731" s="338" t="s">
        <v>411</v>
      </c>
      <c r="J3731" s="339">
        <v>0.111817</v>
      </c>
      <c r="K3731" s="339"/>
      <c r="L3731" s="339" t="s">
        <v>409</v>
      </c>
      <c r="M3731" s="339" t="s">
        <v>409</v>
      </c>
      <c r="N3731" s="338" t="s">
        <v>417</v>
      </c>
      <c r="O3731" s="338" t="s">
        <v>409</v>
      </c>
      <c r="P3731" s="338"/>
    </row>
    <row r="3732" spans="2:16" x14ac:dyDescent="0.25">
      <c r="B3732" s="336" t="s">
        <v>416</v>
      </c>
      <c r="C3732" s="337">
        <v>39029</v>
      </c>
      <c r="D3732" s="338" t="s">
        <v>2772</v>
      </c>
      <c r="E3732" s="336" t="s">
        <v>419</v>
      </c>
      <c r="F3732" s="338" t="s">
        <v>2771</v>
      </c>
      <c r="G3732" s="338">
        <v>200</v>
      </c>
      <c r="H3732" s="338" t="s">
        <v>425</v>
      </c>
      <c r="I3732" s="338" t="s">
        <v>411</v>
      </c>
      <c r="J3732" s="339"/>
      <c r="K3732" s="339"/>
      <c r="L3732" s="339"/>
      <c r="M3732" s="339"/>
      <c r="N3732" s="338"/>
      <c r="O3732" s="338" t="s">
        <v>417</v>
      </c>
      <c r="P3732" s="338" t="s">
        <v>417</v>
      </c>
    </row>
    <row r="3733" spans="2:16" x14ac:dyDescent="0.25">
      <c r="B3733" s="336" t="s">
        <v>416</v>
      </c>
      <c r="C3733" s="337">
        <v>39029</v>
      </c>
      <c r="D3733" s="338" t="s">
        <v>2770</v>
      </c>
      <c r="E3733" s="336" t="s">
        <v>2769</v>
      </c>
      <c r="F3733" s="338"/>
      <c r="G3733" s="338" t="s">
        <v>413</v>
      </c>
      <c r="H3733" s="338" t="s">
        <v>412</v>
      </c>
      <c r="I3733" s="338" t="s">
        <v>411</v>
      </c>
      <c r="J3733" s="339"/>
      <c r="K3733" s="339"/>
      <c r="L3733" s="339" t="s">
        <v>409</v>
      </c>
      <c r="M3733" s="339" t="s">
        <v>409</v>
      </c>
      <c r="N3733" s="338" t="s">
        <v>487</v>
      </c>
      <c r="O3733" s="338" t="s">
        <v>409</v>
      </c>
      <c r="P3733" s="338" t="s">
        <v>487</v>
      </c>
    </row>
    <row r="3734" spans="2:16" x14ac:dyDescent="0.25">
      <c r="B3734" s="336" t="s">
        <v>416</v>
      </c>
      <c r="C3734" s="337">
        <v>39029</v>
      </c>
      <c r="D3734" s="338" t="s">
        <v>2768</v>
      </c>
      <c r="E3734" s="336" t="s">
        <v>1733</v>
      </c>
      <c r="F3734" s="338"/>
      <c r="G3734" s="338" t="s">
        <v>413</v>
      </c>
      <c r="H3734" s="338" t="s">
        <v>425</v>
      </c>
      <c r="I3734" s="338" t="s">
        <v>411</v>
      </c>
      <c r="J3734" s="339"/>
      <c r="K3734" s="339"/>
      <c r="L3734" s="339" t="s">
        <v>409</v>
      </c>
      <c r="M3734" s="339" t="s">
        <v>409</v>
      </c>
      <c r="N3734" s="338" t="s">
        <v>410</v>
      </c>
      <c r="O3734" s="338" t="s">
        <v>409</v>
      </c>
      <c r="P3734" s="338" t="s">
        <v>443</v>
      </c>
    </row>
    <row r="3735" spans="2:16" x14ac:dyDescent="0.25">
      <c r="B3735" s="336" t="s">
        <v>416</v>
      </c>
      <c r="C3735" s="337">
        <v>39029</v>
      </c>
      <c r="D3735" s="338" t="s">
        <v>2767</v>
      </c>
      <c r="E3735" s="336" t="s">
        <v>481</v>
      </c>
      <c r="F3735" s="338" t="s">
        <v>2766</v>
      </c>
      <c r="G3735" s="338" t="s">
        <v>413</v>
      </c>
      <c r="H3735" s="338" t="s">
        <v>425</v>
      </c>
      <c r="I3735" s="338" t="s">
        <v>411</v>
      </c>
      <c r="J3735" s="339"/>
      <c r="K3735" s="339"/>
      <c r="L3735" s="339"/>
      <c r="M3735" s="339"/>
      <c r="N3735" s="338"/>
      <c r="O3735" s="338" t="s">
        <v>417</v>
      </c>
      <c r="P3735" s="338" t="s">
        <v>417</v>
      </c>
    </row>
    <row r="3736" spans="2:16" x14ac:dyDescent="0.25">
      <c r="B3736" s="336" t="s">
        <v>416</v>
      </c>
      <c r="C3736" s="337">
        <v>39029</v>
      </c>
      <c r="D3736" s="338" t="s">
        <v>2765</v>
      </c>
      <c r="E3736" s="336" t="s">
        <v>1222</v>
      </c>
      <c r="F3736" s="338"/>
      <c r="G3736" s="338">
        <v>16</v>
      </c>
      <c r="H3736" s="338" t="s">
        <v>425</v>
      </c>
      <c r="I3736" s="338" t="s">
        <v>411</v>
      </c>
      <c r="J3736" s="339"/>
      <c r="K3736" s="339"/>
      <c r="L3736" s="339" t="s">
        <v>409</v>
      </c>
      <c r="M3736" s="339" t="s">
        <v>409</v>
      </c>
      <c r="N3736" s="338" t="s">
        <v>417</v>
      </c>
      <c r="O3736" s="338" t="s">
        <v>409</v>
      </c>
      <c r="P3736" s="338" t="s">
        <v>417</v>
      </c>
    </row>
    <row r="3737" spans="2:16" x14ac:dyDescent="0.25">
      <c r="B3737" s="336" t="s">
        <v>416</v>
      </c>
      <c r="C3737" s="337">
        <v>39029</v>
      </c>
      <c r="D3737" s="338" t="s">
        <v>1592</v>
      </c>
      <c r="E3737" s="336" t="s">
        <v>1591</v>
      </c>
      <c r="F3737" s="338" t="s">
        <v>1096</v>
      </c>
      <c r="G3737" s="338">
        <v>310</v>
      </c>
      <c r="H3737" s="338" t="s">
        <v>425</v>
      </c>
      <c r="I3737" s="338" t="s">
        <v>411</v>
      </c>
      <c r="J3737" s="339"/>
      <c r="K3737" s="339"/>
      <c r="L3737" s="339">
        <v>0.691689</v>
      </c>
      <c r="M3737" s="339">
        <v>10.3171</v>
      </c>
      <c r="N3737" s="338" t="s">
        <v>482</v>
      </c>
      <c r="O3737" s="338" t="s">
        <v>417</v>
      </c>
      <c r="P3737" s="338" t="s">
        <v>443</v>
      </c>
    </row>
    <row r="3738" spans="2:16" x14ac:dyDescent="0.25">
      <c r="B3738" s="336" t="s">
        <v>416</v>
      </c>
      <c r="C3738" s="337">
        <v>39029</v>
      </c>
      <c r="D3738" s="338" t="s">
        <v>2738</v>
      </c>
      <c r="E3738" s="336" t="s">
        <v>2764</v>
      </c>
      <c r="F3738" s="338" t="s">
        <v>624</v>
      </c>
      <c r="G3738" s="338">
        <v>124</v>
      </c>
      <c r="H3738" s="338" t="s">
        <v>425</v>
      </c>
      <c r="I3738" s="338" t="s">
        <v>411</v>
      </c>
      <c r="J3738" s="339"/>
      <c r="K3738" s="339"/>
      <c r="L3738" s="339"/>
      <c r="M3738" s="339"/>
      <c r="N3738" s="338" t="s">
        <v>417</v>
      </c>
      <c r="O3738" s="338" t="s">
        <v>417</v>
      </c>
      <c r="P3738" s="338" t="s">
        <v>417</v>
      </c>
    </row>
    <row r="3739" spans="2:16" x14ac:dyDescent="0.25">
      <c r="B3739" s="336" t="s">
        <v>416</v>
      </c>
      <c r="C3739" s="337">
        <v>39029</v>
      </c>
      <c r="D3739" s="338" t="s">
        <v>2763</v>
      </c>
      <c r="E3739" s="336" t="s">
        <v>2762</v>
      </c>
      <c r="F3739" s="338"/>
      <c r="G3739" s="338" t="s">
        <v>413</v>
      </c>
      <c r="H3739" s="338" t="s">
        <v>425</v>
      </c>
      <c r="I3739" s="338" t="s">
        <v>411</v>
      </c>
      <c r="J3739" s="339"/>
      <c r="K3739" s="339"/>
      <c r="L3739" s="339" t="s">
        <v>409</v>
      </c>
      <c r="M3739" s="339" t="s">
        <v>409</v>
      </c>
      <c r="N3739" s="338"/>
      <c r="O3739" s="338" t="s">
        <v>409</v>
      </c>
      <c r="P3739" s="338" t="s">
        <v>417</v>
      </c>
    </row>
    <row r="3740" spans="2:16" x14ac:dyDescent="0.25">
      <c r="B3740" s="336" t="s">
        <v>416</v>
      </c>
      <c r="C3740" s="337">
        <v>39028</v>
      </c>
      <c r="D3740" s="338" t="s">
        <v>2761</v>
      </c>
      <c r="E3740" s="336" t="s">
        <v>2209</v>
      </c>
      <c r="F3740" s="338" t="s">
        <v>2760</v>
      </c>
      <c r="G3740" s="338">
        <v>7.53</v>
      </c>
      <c r="H3740" s="338" t="s">
        <v>425</v>
      </c>
      <c r="I3740" s="338" t="s">
        <v>411</v>
      </c>
      <c r="J3740" s="339"/>
      <c r="K3740" s="339"/>
      <c r="L3740" s="339"/>
      <c r="M3740" s="339"/>
      <c r="N3740" s="338"/>
      <c r="O3740" s="338"/>
      <c r="P3740" s="338" t="s">
        <v>410</v>
      </c>
    </row>
    <row r="3741" spans="2:16" x14ac:dyDescent="0.25">
      <c r="B3741" s="336" t="s">
        <v>459</v>
      </c>
      <c r="C3741" s="337">
        <v>39028</v>
      </c>
      <c r="D3741" s="338" t="s">
        <v>2759</v>
      </c>
      <c r="E3741" s="336" t="s">
        <v>2758</v>
      </c>
      <c r="F3741" s="338"/>
      <c r="G3741" s="338" t="s">
        <v>413</v>
      </c>
      <c r="H3741" s="338" t="s">
        <v>425</v>
      </c>
      <c r="I3741" s="338" t="s">
        <v>411</v>
      </c>
      <c r="J3741" s="339"/>
      <c r="K3741" s="339"/>
      <c r="L3741" s="339" t="s">
        <v>409</v>
      </c>
      <c r="M3741" s="339" t="s">
        <v>409</v>
      </c>
      <c r="N3741" s="338" t="s">
        <v>417</v>
      </c>
      <c r="O3741" s="338" t="s">
        <v>409</v>
      </c>
      <c r="P3741" s="338" t="s">
        <v>443</v>
      </c>
    </row>
    <row r="3742" spans="2:16" x14ac:dyDescent="0.25">
      <c r="B3742" s="336" t="s">
        <v>416</v>
      </c>
      <c r="C3742" s="337">
        <v>39028</v>
      </c>
      <c r="D3742" s="338" t="s">
        <v>2757</v>
      </c>
      <c r="E3742" s="336" t="s">
        <v>669</v>
      </c>
      <c r="F3742" s="338" t="s">
        <v>2756</v>
      </c>
      <c r="G3742" s="338" t="s">
        <v>413</v>
      </c>
      <c r="H3742" s="338" t="s">
        <v>425</v>
      </c>
      <c r="I3742" s="338" t="s">
        <v>411</v>
      </c>
      <c r="J3742" s="339"/>
      <c r="K3742" s="339"/>
      <c r="L3742" s="339"/>
      <c r="M3742" s="339"/>
      <c r="N3742" s="338" t="s">
        <v>417</v>
      </c>
      <c r="O3742" s="338" t="s">
        <v>443</v>
      </c>
      <c r="P3742" s="338"/>
    </row>
    <row r="3743" spans="2:16" x14ac:dyDescent="0.25">
      <c r="B3743" s="336" t="s">
        <v>416</v>
      </c>
      <c r="C3743" s="337">
        <v>39027</v>
      </c>
      <c r="D3743" s="338" t="s">
        <v>2755</v>
      </c>
      <c r="E3743" s="336" t="s">
        <v>2754</v>
      </c>
      <c r="F3743" s="338" t="s">
        <v>479</v>
      </c>
      <c r="G3743" s="338" t="s">
        <v>413</v>
      </c>
      <c r="H3743" s="338" t="s">
        <v>425</v>
      </c>
      <c r="I3743" s="338" t="s">
        <v>411</v>
      </c>
      <c r="J3743" s="339"/>
      <c r="K3743" s="339"/>
      <c r="L3743" s="339"/>
      <c r="M3743" s="339"/>
      <c r="N3743" s="338"/>
      <c r="O3743" s="338" t="s">
        <v>443</v>
      </c>
      <c r="P3743" s="338" t="s">
        <v>487</v>
      </c>
    </row>
    <row r="3744" spans="2:16" x14ac:dyDescent="0.25">
      <c r="B3744" s="336" t="s">
        <v>416</v>
      </c>
      <c r="C3744" s="337">
        <v>39027</v>
      </c>
      <c r="D3744" s="338" t="s">
        <v>2753</v>
      </c>
      <c r="E3744" s="336" t="s">
        <v>2752</v>
      </c>
      <c r="F3744" s="338" t="s">
        <v>842</v>
      </c>
      <c r="G3744" s="338">
        <v>410.3</v>
      </c>
      <c r="H3744" s="338" t="s">
        <v>425</v>
      </c>
      <c r="I3744" s="338" t="s">
        <v>411</v>
      </c>
      <c r="J3744" s="339"/>
      <c r="K3744" s="339"/>
      <c r="L3744" s="339">
        <v>2.00787</v>
      </c>
      <c r="M3744" s="339">
        <v>12.1244</v>
      </c>
      <c r="N3744" s="338" t="s">
        <v>417</v>
      </c>
      <c r="O3744" s="338" t="s">
        <v>487</v>
      </c>
      <c r="P3744" s="338" t="s">
        <v>487</v>
      </c>
    </row>
    <row r="3745" spans="2:16" x14ac:dyDescent="0.25">
      <c r="B3745" s="336" t="s">
        <v>416</v>
      </c>
      <c r="C3745" s="337">
        <v>39027</v>
      </c>
      <c r="D3745" s="338" t="s">
        <v>2751</v>
      </c>
      <c r="E3745" s="336" t="s">
        <v>2750</v>
      </c>
      <c r="F3745" s="338"/>
      <c r="G3745" s="338" t="s">
        <v>413</v>
      </c>
      <c r="H3745" s="338" t="s">
        <v>412</v>
      </c>
      <c r="I3745" s="338" t="s">
        <v>411</v>
      </c>
      <c r="J3745" s="339"/>
      <c r="K3745" s="339"/>
      <c r="L3745" s="339" t="s">
        <v>409</v>
      </c>
      <c r="M3745" s="339" t="s">
        <v>409</v>
      </c>
      <c r="N3745" s="338" t="s">
        <v>417</v>
      </c>
      <c r="O3745" s="338" t="s">
        <v>409</v>
      </c>
      <c r="P3745" s="338" t="s">
        <v>417</v>
      </c>
    </row>
    <row r="3746" spans="2:16" x14ac:dyDescent="0.25">
      <c r="B3746" s="336" t="s">
        <v>459</v>
      </c>
      <c r="C3746" s="337">
        <v>39027</v>
      </c>
      <c r="D3746" s="338" t="s">
        <v>2749</v>
      </c>
      <c r="E3746" s="336" t="s">
        <v>2748</v>
      </c>
      <c r="F3746" s="338"/>
      <c r="G3746" s="338">
        <v>4.25</v>
      </c>
      <c r="H3746" s="338" t="s">
        <v>425</v>
      </c>
      <c r="I3746" s="338" t="s">
        <v>411</v>
      </c>
      <c r="J3746" s="339"/>
      <c r="K3746" s="339"/>
      <c r="L3746" s="339" t="s">
        <v>409</v>
      </c>
      <c r="M3746" s="339" t="s">
        <v>409</v>
      </c>
      <c r="N3746" s="338" t="s">
        <v>432</v>
      </c>
      <c r="O3746" s="338" t="s">
        <v>409</v>
      </c>
      <c r="P3746" s="338" t="s">
        <v>443</v>
      </c>
    </row>
    <row r="3747" spans="2:16" x14ac:dyDescent="0.25">
      <c r="B3747" s="336" t="s">
        <v>416</v>
      </c>
      <c r="C3747" s="337">
        <v>39027</v>
      </c>
      <c r="D3747" s="338" t="s">
        <v>457</v>
      </c>
      <c r="E3747" s="336" t="s">
        <v>2747</v>
      </c>
      <c r="F3747" s="338"/>
      <c r="G3747" s="338">
        <v>3259.2</v>
      </c>
      <c r="H3747" s="338" t="s">
        <v>425</v>
      </c>
      <c r="I3747" s="338" t="s">
        <v>411</v>
      </c>
      <c r="J3747" s="339"/>
      <c r="K3747" s="339"/>
      <c r="L3747" s="339" t="s">
        <v>409</v>
      </c>
      <c r="M3747" s="339" t="s">
        <v>409</v>
      </c>
      <c r="N3747" s="338" t="s">
        <v>417</v>
      </c>
      <c r="O3747" s="338" t="s">
        <v>409</v>
      </c>
      <c r="P3747" s="338"/>
    </row>
    <row r="3748" spans="2:16" x14ac:dyDescent="0.25">
      <c r="B3748" s="336" t="s">
        <v>416</v>
      </c>
      <c r="C3748" s="337">
        <v>39024</v>
      </c>
      <c r="D3748" s="338" t="s">
        <v>2746</v>
      </c>
      <c r="E3748" s="336" t="s">
        <v>2745</v>
      </c>
      <c r="F3748" s="338" t="s">
        <v>2744</v>
      </c>
      <c r="G3748" s="338" t="s">
        <v>413</v>
      </c>
      <c r="H3748" s="338" t="s">
        <v>336</v>
      </c>
      <c r="I3748" s="338" t="s">
        <v>411</v>
      </c>
      <c r="J3748" s="339"/>
      <c r="K3748" s="339"/>
      <c r="L3748" s="339"/>
      <c r="M3748" s="339"/>
      <c r="N3748" s="338"/>
      <c r="O3748" s="338" t="s">
        <v>410</v>
      </c>
      <c r="P3748" s="338" t="s">
        <v>417</v>
      </c>
    </row>
    <row r="3749" spans="2:16" x14ac:dyDescent="0.25">
      <c r="B3749" s="336" t="s">
        <v>416</v>
      </c>
      <c r="C3749" s="337">
        <v>39024</v>
      </c>
      <c r="D3749" s="338" t="s">
        <v>956</v>
      </c>
      <c r="E3749" s="336" t="s">
        <v>2743</v>
      </c>
      <c r="F3749" s="338" t="s">
        <v>2739</v>
      </c>
      <c r="G3749" s="338" t="s">
        <v>413</v>
      </c>
      <c r="H3749" s="338" t="s">
        <v>425</v>
      </c>
      <c r="I3749" s="338" t="s">
        <v>411</v>
      </c>
      <c r="J3749" s="339"/>
      <c r="K3749" s="339"/>
      <c r="L3749" s="339"/>
      <c r="M3749" s="339"/>
      <c r="N3749" s="338"/>
      <c r="O3749" s="338" t="s">
        <v>417</v>
      </c>
      <c r="P3749" s="338" t="s">
        <v>410</v>
      </c>
    </row>
    <row r="3750" spans="2:16" x14ac:dyDescent="0.25">
      <c r="B3750" s="336" t="s">
        <v>416</v>
      </c>
      <c r="C3750" s="337">
        <v>39024</v>
      </c>
      <c r="D3750" s="338" t="s">
        <v>2742</v>
      </c>
      <c r="E3750" s="336" t="s">
        <v>2741</v>
      </c>
      <c r="F3750" s="338" t="s">
        <v>718</v>
      </c>
      <c r="G3750" s="338">
        <v>0.6</v>
      </c>
      <c r="H3750" s="338" t="s">
        <v>418</v>
      </c>
      <c r="I3750" s="338" t="s">
        <v>411</v>
      </c>
      <c r="J3750" s="339"/>
      <c r="K3750" s="339"/>
      <c r="L3750" s="339">
        <v>1.5001800000000001</v>
      </c>
      <c r="M3750" s="339">
        <v>8.2741699999999998</v>
      </c>
      <c r="N3750" s="338"/>
      <c r="O3750" s="338" t="s">
        <v>417</v>
      </c>
      <c r="P3750" s="338" t="s">
        <v>612</v>
      </c>
    </row>
    <row r="3751" spans="2:16" x14ac:dyDescent="0.25">
      <c r="B3751" s="336" t="s">
        <v>416</v>
      </c>
      <c r="C3751" s="337">
        <v>39024</v>
      </c>
      <c r="D3751" s="338" t="s">
        <v>2740</v>
      </c>
      <c r="E3751" s="336" t="s">
        <v>1902</v>
      </c>
      <c r="F3751" s="338" t="s">
        <v>2739</v>
      </c>
      <c r="G3751" s="338" t="s">
        <v>413</v>
      </c>
      <c r="H3751" s="338" t="s">
        <v>425</v>
      </c>
      <c r="I3751" s="338" t="s">
        <v>411</v>
      </c>
      <c r="J3751" s="339"/>
      <c r="K3751" s="339"/>
      <c r="L3751" s="339"/>
      <c r="M3751" s="339"/>
      <c r="N3751" s="338"/>
      <c r="O3751" s="338" t="s">
        <v>417</v>
      </c>
      <c r="P3751" s="338" t="s">
        <v>417</v>
      </c>
    </row>
    <row r="3752" spans="2:16" x14ac:dyDescent="0.25">
      <c r="B3752" s="336" t="s">
        <v>416</v>
      </c>
      <c r="C3752" s="337">
        <v>39023</v>
      </c>
      <c r="D3752" s="338" t="s">
        <v>692</v>
      </c>
      <c r="E3752" s="336" t="s">
        <v>2504</v>
      </c>
      <c r="F3752" s="338"/>
      <c r="G3752" s="338" t="s">
        <v>413</v>
      </c>
      <c r="H3752" s="338" t="s">
        <v>425</v>
      </c>
      <c r="I3752" s="338" t="s">
        <v>411</v>
      </c>
      <c r="J3752" s="339"/>
      <c r="K3752" s="339"/>
      <c r="L3752" s="339" t="s">
        <v>409</v>
      </c>
      <c r="M3752" s="339" t="s">
        <v>409</v>
      </c>
      <c r="N3752" s="338"/>
      <c r="O3752" s="338" t="s">
        <v>409</v>
      </c>
      <c r="P3752" s="338" t="s">
        <v>443</v>
      </c>
    </row>
    <row r="3753" spans="2:16" x14ac:dyDescent="0.25">
      <c r="B3753" s="336" t="s">
        <v>416</v>
      </c>
      <c r="C3753" s="337">
        <v>39023</v>
      </c>
      <c r="D3753" s="338" t="s">
        <v>2738</v>
      </c>
      <c r="E3753" s="336" t="s">
        <v>624</v>
      </c>
      <c r="F3753" s="338"/>
      <c r="G3753" s="338">
        <v>59.4</v>
      </c>
      <c r="H3753" s="338" t="s">
        <v>425</v>
      </c>
      <c r="I3753" s="338" t="s">
        <v>411</v>
      </c>
      <c r="J3753" s="339"/>
      <c r="K3753" s="339"/>
      <c r="L3753" s="339" t="s">
        <v>409</v>
      </c>
      <c r="M3753" s="339" t="s">
        <v>409</v>
      </c>
      <c r="N3753" s="338" t="s">
        <v>417</v>
      </c>
      <c r="O3753" s="338" t="s">
        <v>409</v>
      </c>
      <c r="P3753" s="338" t="s">
        <v>417</v>
      </c>
    </row>
    <row r="3754" spans="2:16" x14ac:dyDescent="0.25">
      <c r="B3754" s="336" t="s">
        <v>416</v>
      </c>
      <c r="C3754" s="337">
        <v>39023</v>
      </c>
      <c r="D3754" s="338" t="s">
        <v>2737</v>
      </c>
      <c r="E3754" s="336" t="s">
        <v>2736</v>
      </c>
      <c r="F3754" s="338" t="s">
        <v>2735</v>
      </c>
      <c r="G3754" s="338" t="s">
        <v>413</v>
      </c>
      <c r="H3754" s="338" t="s">
        <v>412</v>
      </c>
      <c r="I3754" s="338" t="s">
        <v>411</v>
      </c>
      <c r="J3754" s="339"/>
      <c r="K3754" s="339"/>
      <c r="L3754" s="339"/>
      <c r="M3754" s="339"/>
      <c r="N3754" s="338" t="s">
        <v>417</v>
      </c>
      <c r="O3754" s="338" t="s">
        <v>443</v>
      </c>
      <c r="P3754" s="338" t="s">
        <v>443</v>
      </c>
    </row>
    <row r="3755" spans="2:16" x14ac:dyDescent="0.25">
      <c r="B3755" s="336" t="s">
        <v>416</v>
      </c>
      <c r="C3755" s="337">
        <v>39023</v>
      </c>
      <c r="D3755" s="338" t="s">
        <v>2734</v>
      </c>
      <c r="E3755" s="336" t="s">
        <v>2733</v>
      </c>
      <c r="F3755" s="338"/>
      <c r="G3755" s="338" t="s">
        <v>413</v>
      </c>
      <c r="H3755" s="338" t="s">
        <v>412</v>
      </c>
      <c r="I3755" s="338" t="s">
        <v>411</v>
      </c>
      <c r="J3755" s="339"/>
      <c r="K3755" s="339"/>
      <c r="L3755" s="339" t="s">
        <v>409</v>
      </c>
      <c r="M3755" s="339" t="s">
        <v>409</v>
      </c>
      <c r="N3755" s="338" t="s">
        <v>417</v>
      </c>
      <c r="O3755" s="338" t="s">
        <v>409</v>
      </c>
      <c r="P3755" s="338" t="s">
        <v>417</v>
      </c>
    </row>
    <row r="3756" spans="2:16" x14ac:dyDescent="0.25">
      <c r="B3756" s="336" t="s">
        <v>416</v>
      </c>
      <c r="C3756" s="337">
        <v>39023</v>
      </c>
      <c r="D3756" s="338" t="s">
        <v>2732</v>
      </c>
      <c r="E3756" s="336" t="s">
        <v>423</v>
      </c>
      <c r="F3756" s="338" t="s">
        <v>2731</v>
      </c>
      <c r="G3756" s="338" t="s">
        <v>413</v>
      </c>
      <c r="H3756" s="338" t="s">
        <v>425</v>
      </c>
      <c r="I3756" s="338" t="s">
        <v>411</v>
      </c>
      <c r="J3756" s="339"/>
      <c r="K3756" s="339"/>
      <c r="L3756" s="339"/>
      <c r="M3756" s="339"/>
      <c r="N3756" s="338"/>
      <c r="O3756" s="338" t="s">
        <v>410</v>
      </c>
      <c r="P3756" s="338"/>
    </row>
    <row r="3757" spans="2:16" x14ac:dyDescent="0.25">
      <c r="B3757" s="336" t="s">
        <v>416</v>
      </c>
      <c r="C3757" s="337">
        <v>39022</v>
      </c>
      <c r="D3757" s="338" t="s">
        <v>2730</v>
      </c>
      <c r="E3757" s="336" t="s">
        <v>2729</v>
      </c>
      <c r="F3757" s="338"/>
      <c r="G3757" s="338">
        <v>21.75</v>
      </c>
      <c r="H3757" s="338" t="s">
        <v>425</v>
      </c>
      <c r="I3757" s="338" t="s">
        <v>411</v>
      </c>
      <c r="J3757" s="339"/>
      <c r="K3757" s="339"/>
      <c r="L3757" s="339" t="s">
        <v>409</v>
      </c>
      <c r="M3757" s="339" t="s">
        <v>409</v>
      </c>
      <c r="N3757" s="338" t="s">
        <v>417</v>
      </c>
      <c r="O3757" s="338" t="s">
        <v>409</v>
      </c>
      <c r="P3757" s="338" t="s">
        <v>487</v>
      </c>
    </row>
    <row r="3758" spans="2:16" x14ac:dyDescent="0.25">
      <c r="B3758" s="336" t="s">
        <v>416</v>
      </c>
      <c r="C3758" s="337">
        <v>39022</v>
      </c>
      <c r="D3758" s="338" t="s">
        <v>2728</v>
      </c>
      <c r="E3758" s="336" t="s">
        <v>1605</v>
      </c>
      <c r="F3758" s="338" t="s">
        <v>2727</v>
      </c>
      <c r="G3758" s="338">
        <v>69</v>
      </c>
      <c r="H3758" s="338" t="s">
        <v>425</v>
      </c>
      <c r="I3758" s="338" t="s">
        <v>411</v>
      </c>
      <c r="J3758" s="339"/>
      <c r="K3758" s="339"/>
      <c r="L3758" s="339"/>
      <c r="M3758" s="339"/>
      <c r="N3758" s="338" t="s">
        <v>417</v>
      </c>
      <c r="O3758" s="338" t="s">
        <v>417</v>
      </c>
      <c r="P3758" s="338" t="s">
        <v>417</v>
      </c>
    </row>
    <row r="3759" spans="2:16" x14ac:dyDescent="0.25">
      <c r="B3759" s="336" t="s">
        <v>416</v>
      </c>
      <c r="C3759" s="337">
        <v>39022</v>
      </c>
      <c r="D3759" s="338" t="s">
        <v>2726</v>
      </c>
      <c r="E3759" s="336" t="s">
        <v>2725</v>
      </c>
      <c r="F3759" s="338" t="s">
        <v>2724</v>
      </c>
      <c r="G3759" s="338">
        <v>14.27</v>
      </c>
      <c r="H3759" s="338" t="s">
        <v>425</v>
      </c>
      <c r="I3759" s="338" t="s">
        <v>411</v>
      </c>
      <c r="J3759" s="339"/>
      <c r="K3759" s="339"/>
      <c r="L3759" s="339">
        <v>8.2286600000000001E-2</v>
      </c>
      <c r="M3759" s="339">
        <v>1.85162</v>
      </c>
      <c r="N3759" s="338"/>
      <c r="O3759" s="338" t="s">
        <v>417</v>
      </c>
      <c r="P3759" s="338" t="s">
        <v>417</v>
      </c>
    </row>
    <row r="3760" spans="2:16" x14ac:dyDescent="0.25">
      <c r="B3760" s="336" t="s">
        <v>416</v>
      </c>
      <c r="C3760" s="337">
        <v>39022</v>
      </c>
      <c r="D3760" s="338" t="s">
        <v>2723</v>
      </c>
      <c r="E3760" s="336" t="s">
        <v>2267</v>
      </c>
      <c r="F3760" s="338" t="s">
        <v>2722</v>
      </c>
      <c r="G3760" s="338">
        <v>400</v>
      </c>
      <c r="H3760" s="338" t="s">
        <v>425</v>
      </c>
      <c r="I3760" s="338" t="s">
        <v>411</v>
      </c>
      <c r="J3760" s="339"/>
      <c r="K3760" s="339"/>
      <c r="L3760" s="339">
        <v>2.7342599999999999</v>
      </c>
      <c r="M3760" s="339">
        <v>13.962199999999999</v>
      </c>
      <c r="N3760" s="338"/>
      <c r="O3760" s="338" t="s">
        <v>417</v>
      </c>
      <c r="P3760" s="338" t="s">
        <v>417</v>
      </c>
    </row>
    <row r="3761" spans="2:16" x14ac:dyDescent="0.25">
      <c r="B3761" s="336" t="s">
        <v>416</v>
      </c>
      <c r="C3761" s="337">
        <v>39022</v>
      </c>
      <c r="D3761" s="338" t="s">
        <v>2721</v>
      </c>
      <c r="E3761" s="336" t="s">
        <v>2418</v>
      </c>
      <c r="F3761" s="338"/>
      <c r="G3761" s="338">
        <v>21694.79</v>
      </c>
      <c r="H3761" s="338" t="s">
        <v>336</v>
      </c>
      <c r="I3761" s="338" t="s">
        <v>411</v>
      </c>
      <c r="J3761" s="339">
        <v>0.72211199999999998</v>
      </c>
      <c r="K3761" s="339">
        <v>14.2692</v>
      </c>
      <c r="L3761" s="339" t="s">
        <v>409</v>
      </c>
      <c r="M3761" s="339" t="s">
        <v>409</v>
      </c>
      <c r="N3761" s="338" t="s">
        <v>410</v>
      </c>
      <c r="O3761" s="338" t="s">
        <v>409</v>
      </c>
      <c r="P3761" s="338" t="s">
        <v>417</v>
      </c>
    </row>
    <row r="3762" spans="2:16" x14ac:dyDescent="0.25">
      <c r="B3762" s="336" t="s">
        <v>416</v>
      </c>
      <c r="C3762" s="337">
        <v>39021</v>
      </c>
      <c r="D3762" s="338" t="s">
        <v>2720</v>
      </c>
      <c r="E3762" s="336" t="s">
        <v>598</v>
      </c>
      <c r="F3762" s="338"/>
      <c r="G3762" s="338" t="s">
        <v>413</v>
      </c>
      <c r="H3762" s="338" t="s">
        <v>412</v>
      </c>
      <c r="I3762" s="338" t="s">
        <v>411</v>
      </c>
      <c r="J3762" s="339"/>
      <c r="K3762" s="339"/>
      <c r="L3762" s="339" t="s">
        <v>409</v>
      </c>
      <c r="M3762" s="339" t="s">
        <v>409</v>
      </c>
      <c r="N3762" s="338"/>
      <c r="O3762" s="338" t="s">
        <v>409</v>
      </c>
      <c r="P3762" s="338" t="s">
        <v>417</v>
      </c>
    </row>
    <row r="3763" spans="2:16" x14ac:dyDescent="0.25">
      <c r="B3763" s="336" t="s">
        <v>416</v>
      </c>
      <c r="C3763" s="337">
        <v>39021</v>
      </c>
      <c r="D3763" s="338" t="s">
        <v>2719</v>
      </c>
      <c r="E3763" s="336" t="s">
        <v>2718</v>
      </c>
      <c r="F3763" s="338"/>
      <c r="G3763" s="338" t="s">
        <v>413</v>
      </c>
      <c r="H3763" s="338" t="s">
        <v>412</v>
      </c>
      <c r="I3763" s="338" t="s">
        <v>411</v>
      </c>
      <c r="J3763" s="339"/>
      <c r="K3763" s="339"/>
      <c r="L3763" s="339" t="s">
        <v>409</v>
      </c>
      <c r="M3763" s="339" t="s">
        <v>409</v>
      </c>
      <c r="N3763" s="338" t="s">
        <v>417</v>
      </c>
      <c r="O3763" s="338" t="s">
        <v>409</v>
      </c>
      <c r="P3763" s="338" t="s">
        <v>443</v>
      </c>
    </row>
    <row r="3764" spans="2:16" x14ac:dyDescent="0.25">
      <c r="B3764" s="336" t="s">
        <v>416</v>
      </c>
      <c r="C3764" s="337">
        <v>39021</v>
      </c>
      <c r="D3764" s="338" t="s">
        <v>2717</v>
      </c>
      <c r="E3764" s="336" t="s">
        <v>2716</v>
      </c>
      <c r="F3764" s="338" t="s">
        <v>2081</v>
      </c>
      <c r="G3764" s="338">
        <v>486</v>
      </c>
      <c r="H3764" s="338" t="s">
        <v>425</v>
      </c>
      <c r="I3764" s="338" t="s">
        <v>411</v>
      </c>
      <c r="J3764" s="339"/>
      <c r="K3764" s="339"/>
      <c r="L3764" s="339">
        <v>1.0018499999999999</v>
      </c>
      <c r="M3764" s="339">
        <v>9.9138099999999998</v>
      </c>
      <c r="N3764" s="338" t="s">
        <v>417</v>
      </c>
      <c r="O3764" s="338" t="s">
        <v>417</v>
      </c>
      <c r="P3764" s="338"/>
    </row>
    <row r="3765" spans="2:16" x14ac:dyDescent="0.25">
      <c r="B3765" s="336" t="s">
        <v>459</v>
      </c>
      <c r="C3765" s="337">
        <v>39016</v>
      </c>
      <c r="D3765" s="338" t="s">
        <v>2062</v>
      </c>
      <c r="E3765" s="336" t="s">
        <v>1708</v>
      </c>
      <c r="F3765" s="338"/>
      <c r="G3765" s="338">
        <v>9.98</v>
      </c>
      <c r="H3765" s="338" t="s">
        <v>425</v>
      </c>
      <c r="I3765" s="338" t="s">
        <v>411</v>
      </c>
      <c r="J3765" s="339"/>
      <c r="K3765" s="339"/>
      <c r="L3765" s="339" t="s">
        <v>409</v>
      </c>
      <c r="M3765" s="339" t="s">
        <v>409</v>
      </c>
      <c r="N3765" s="338" t="s">
        <v>432</v>
      </c>
      <c r="O3765" s="338" t="s">
        <v>409</v>
      </c>
      <c r="P3765" s="338" t="s">
        <v>443</v>
      </c>
    </row>
    <row r="3766" spans="2:16" x14ac:dyDescent="0.25">
      <c r="B3766" s="336" t="s">
        <v>459</v>
      </c>
      <c r="C3766" s="337">
        <v>39015</v>
      </c>
      <c r="D3766" s="338" t="s">
        <v>558</v>
      </c>
      <c r="E3766" s="336" t="s">
        <v>2715</v>
      </c>
      <c r="F3766" s="338"/>
      <c r="G3766" s="338">
        <v>35</v>
      </c>
      <c r="H3766" s="338" t="s">
        <v>425</v>
      </c>
      <c r="I3766" s="338" t="s">
        <v>411</v>
      </c>
      <c r="J3766" s="339"/>
      <c r="K3766" s="339"/>
      <c r="L3766" s="339" t="s">
        <v>409</v>
      </c>
      <c r="M3766" s="339" t="s">
        <v>409</v>
      </c>
      <c r="N3766" s="338" t="s">
        <v>417</v>
      </c>
      <c r="O3766" s="338" t="s">
        <v>409</v>
      </c>
      <c r="P3766" s="338"/>
    </row>
    <row r="3767" spans="2:16" x14ac:dyDescent="0.25">
      <c r="B3767" s="336" t="s">
        <v>416</v>
      </c>
      <c r="C3767" s="337">
        <v>39015</v>
      </c>
      <c r="D3767" s="338" t="s">
        <v>2714</v>
      </c>
      <c r="E3767" s="336" t="s">
        <v>1317</v>
      </c>
      <c r="F3767" s="338" t="s">
        <v>1163</v>
      </c>
      <c r="G3767" s="338">
        <v>22</v>
      </c>
      <c r="H3767" s="338" t="s">
        <v>425</v>
      </c>
      <c r="I3767" s="338" t="s">
        <v>411</v>
      </c>
      <c r="J3767" s="339"/>
      <c r="K3767" s="339"/>
      <c r="L3767" s="339"/>
      <c r="M3767" s="339"/>
      <c r="N3767" s="338"/>
      <c r="O3767" s="338" t="s">
        <v>417</v>
      </c>
      <c r="P3767" s="338" t="s">
        <v>417</v>
      </c>
    </row>
    <row r="3768" spans="2:16" x14ac:dyDescent="0.25">
      <c r="B3768" s="336" t="s">
        <v>416</v>
      </c>
      <c r="C3768" s="337">
        <v>39014</v>
      </c>
      <c r="D3768" s="338" t="s">
        <v>2713</v>
      </c>
      <c r="E3768" s="336" t="s">
        <v>514</v>
      </c>
      <c r="F3768" s="338"/>
      <c r="G3768" s="338" t="s">
        <v>413</v>
      </c>
      <c r="H3768" s="338" t="s">
        <v>425</v>
      </c>
      <c r="I3768" s="338" t="s">
        <v>411</v>
      </c>
      <c r="J3768" s="339"/>
      <c r="K3768" s="339"/>
      <c r="L3768" s="339" t="s">
        <v>409</v>
      </c>
      <c r="M3768" s="339" t="s">
        <v>409</v>
      </c>
      <c r="N3768" s="338" t="s">
        <v>417</v>
      </c>
      <c r="O3768" s="338" t="s">
        <v>409</v>
      </c>
      <c r="P3768" s="338"/>
    </row>
    <row r="3769" spans="2:16" x14ac:dyDescent="0.25">
      <c r="B3769" s="336" t="s">
        <v>416</v>
      </c>
      <c r="C3769" s="337">
        <v>39014</v>
      </c>
      <c r="D3769" s="338" t="s">
        <v>2712</v>
      </c>
      <c r="E3769" s="336" t="s">
        <v>2711</v>
      </c>
      <c r="F3769" s="338" t="s">
        <v>2710</v>
      </c>
      <c r="G3769" s="338" t="s">
        <v>413</v>
      </c>
      <c r="H3769" s="338" t="s">
        <v>425</v>
      </c>
      <c r="I3769" s="338" t="s">
        <v>411</v>
      </c>
      <c r="J3769" s="339"/>
      <c r="K3769" s="339"/>
      <c r="L3769" s="339"/>
      <c r="M3769" s="339"/>
      <c r="N3769" s="338"/>
      <c r="O3769" s="338" t="s">
        <v>417</v>
      </c>
      <c r="P3769" s="338" t="s">
        <v>410</v>
      </c>
    </row>
    <row r="3770" spans="2:16" x14ac:dyDescent="0.25">
      <c r="B3770" s="336" t="s">
        <v>416</v>
      </c>
      <c r="C3770" s="337">
        <v>39013</v>
      </c>
      <c r="D3770" s="338" t="s">
        <v>2709</v>
      </c>
      <c r="E3770" s="336" t="s">
        <v>514</v>
      </c>
      <c r="F3770" s="338"/>
      <c r="G3770" s="338" t="s">
        <v>413</v>
      </c>
      <c r="H3770" s="338" t="s">
        <v>425</v>
      </c>
      <c r="I3770" s="338" t="s">
        <v>411</v>
      </c>
      <c r="J3770" s="339"/>
      <c r="K3770" s="339"/>
      <c r="L3770" s="339" t="s">
        <v>409</v>
      </c>
      <c r="M3770" s="339" t="s">
        <v>409</v>
      </c>
      <c r="N3770" s="338" t="s">
        <v>417</v>
      </c>
      <c r="O3770" s="338" t="s">
        <v>409</v>
      </c>
      <c r="P3770" s="338"/>
    </row>
    <row r="3771" spans="2:16" x14ac:dyDescent="0.25">
      <c r="B3771" s="336" t="s">
        <v>416</v>
      </c>
      <c r="C3771" s="337">
        <v>39013</v>
      </c>
      <c r="D3771" s="338" t="s">
        <v>2708</v>
      </c>
      <c r="E3771" s="336" t="s">
        <v>2707</v>
      </c>
      <c r="F3771" s="338" t="s">
        <v>2511</v>
      </c>
      <c r="G3771" s="338">
        <v>500</v>
      </c>
      <c r="H3771" s="338" t="s">
        <v>425</v>
      </c>
      <c r="I3771" s="338" t="s">
        <v>411</v>
      </c>
      <c r="J3771" s="339"/>
      <c r="K3771" s="339"/>
      <c r="L3771" s="339">
        <v>0.55843799999999999</v>
      </c>
      <c r="M3771" s="339">
        <v>8.5917600000000007</v>
      </c>
      <c r="N3771" s="338" t="s">
        <v>417</v>
      </c>
      <c r="O3771" s="338" t="s">
        <v>432</v>
      </c>
      <c r="P3771" s="338" t="s">
        <v>487</v>
      </c>
    </row>
    <row r="3772" spans="2:16" x14ac:dyDescent="0.25">
      <c r="B3772" s="336" t="s">
        <v>416</v>
      </c>
      <c r="C3772" s="337">
        <v>39010</v>
      </c>
      <c r="D3772" s="338" t="s">
        <v>2706</v>
      </c>
      <c r="E3772" s="336" t="s">
        <v>468</v>
      </c>
      <c r="F3772" s="338"/>
      <c r="G3772" s="338" t="s">
        <v>413</v>
      </c>
      <c r="H3772" s="338" t="s">
        <v>425</v>
      </c>
      <c r="I3772" s="338" t="s">
        <v>411</v>
      </c>
      <c r="J3772" s="339"/>
      <c r="K3772" s="339"/>
      <c r="L3772" s="339" t="s">
        <v>409</v>
      </c>
      <c r="M3772" s="339" t="s">
        <v>409</v>
      </c>
      <c r="N3772" s="338" t="s">
        <v>417</v>
      </c>
      <c r="O3772" s="338" t="s">
        <v>409</v>
      </c>
      <c r="P3772" s="338" t="s">
        <v>443</v>
      </c>
    </row>
    <row r="3773" spans="2:16" x14ac:dyDescent="0.25">
      <c r="B3773" s="336" t="s">
        <v>416</v>
      </c>
      <c r="C3773" s="337">
        <v>39009</v>
      </c>
      <c r="D3773" s="338" t="s">
        <v>2705</v>
      </c>
      <c r="E3773" s="336" t="s">
        <v>1689</v>
      </c>
      <c r="F3773" s="338"/>
      <c r="G3773" s="338" t="s">
        <v>413</v>
      </c>
      <c r="H3773" s="338" t="s">
        <v>412</v>
      </c>
      <c r="I3773" s="338" t="s">
        <v>411</v>
      </c>
      <c r="J3773" s="339"/>
      <c r="K3773" s="339"/>
      <c r="L3773" s="339" t="s">
        <v>409</v>
      </c>
      <c r="M3773" s="339" t="s">
        <v>409</v>
      </c>
      <c r="N3773" s="338" t="s">
        <v>417</v>
      </c>
      <c r="O3773" s="338" t="s">
        <v>409</v>
      </c>
      <c r="P3773" s="338" t="s">
        <v>417</v>
      </c>
    </row>
    <row r="3774" spans="2:16" x14ac:dyDescent="0.25">
      <c r="B3774" s="336" t="s">
        <v>416</v>
      </c>
      <c r="C3774" s="337">
        <v>39007</v>
      </c>
      <c r="D3774" s="338" t="s">
        <v>2704</v>
      </c>
      <c r="E3774" s="336" t="s">
        <v>2703</v>
      </c>
      <c r="F3774" s="338"/>
      <c r="G3774" s="338" t="s">
        <v>413</v>
      </c>
      <c r="H3774" s="338" t="s">
        <v>412</v>
      </c>
      <c r="I3774" s="338" t="s">
        <v>411</v>
      </c>
      <c r="J3774" s="339"/>
      <c r="K3774" s="339"/>
      <c r="L3774" s="339" t="s">
        <v>409</v>
      </c>
      <c r="M3774" s="339" t="s">
        <v>409</v>
      </c>
      <c r="N3774" s="338" t="s">
        <v>417</v>
      </c>
      <c r="O3774" s="338" t="s">
        <v>409</v>
      </c>
      <c r="P3774" s="338" t="s">
        <v>417</v>
      </c>
    </row>
    <row r="3775" spans="2:16" x14ac:dyDescent="0.25">
      <c r="B3775" s="336" t="s">
        <v>542</v>
      </c>
      <c r="C3775" s="337">
        <v>39007</v>
      </c>
      <c r="D3775" s="338" t="s">
        <v>1855</v>
      </c>
      <c r="E3775" s="336" t="s">
        <v>539</v>
      </c>
      <c r="F3775" s="338"/>
      <c r="G3775" s="338">
        <v>801.27</v>
      </c>
      <c r="H3775" s="338"/>
      <c r="I3775" s="338" t="s">
        <v>411</v>
      </c>
      <c r="J3775" s="339">
        <v>1.1261000000000001</v>
      </c>
      <c r="K3775" s="339">
        <v>8.29068</v>
      </c>
      <c r="L3775" s="339" t="s">
        <v>409</v>
      </c>
      <c r="M3775" s="339" t="s">
        <v>409</v>
      </c>
      <c r="N3775" s="338" t="s">
        <v>417</v>
      </c>
      <c r="O3775" s="338" t="s">
        <v>409</v>
      </c>
      <c r="P3775" s="338" t="s">
        <v>417</v>
      </c>
    </row>
    <row r="3776" spans="2:16" x14ac:dyDescent="0.25">
      <c r="B3776" s="336" t="s">
        <v>416</v>
      </c>
      <c r="C3776" s="337">
        <v>39006</v>
      </c>
      <c r="D3776" s="338" t="s">
        <v>2702</v>
      </c>
      <c r="E3776" s="336" t="s">
        <v>2701</v>
      </c>
      <c r="F3776" s="338"/>
      <c r="G3776" s="338" t="s">
        <v>413</v>
      </c>
      <c r="H3776" s="338" t="s">
        <v>425</v>
      </c>
      <c r="I3776" s="338" t="s">
        <v>411</v>
      </c>
      <c r="J3776" s="339"/>
      <c r="K3776" s="339"/>
      <c r="L3776" s="339" t="s">
        <v>409</v>
      </c>
      <c r="M3776" s="339" t="s">
        <v>409</v>
      </c>
      <c r="N3776" s="338"/>
      <c r="O3776" s="338" t="s">
        <v>409</v>
      </c>
      <c r="P3776" s="338" t="s">
        <v>417</v>
      </c>
    </row>
    <row r="3777" spans="2:16" x14ac:dyDescent="0.25">
      <c r="B3777" s="336" t="s">
        <v>416</v>
      </c>
      <c r="C3777" s="337">
        <v>39003</v>
      </c>
      <c r="D3777" s="338" t="s">
        <v>2700</v>
      </c>
      <c r="E3777" s="336" t="s">
        <v>2699</v>
      </c>
      <c r="F3777" s="338" t="s">
        <v>2698</v>
      </c>
      <c r="G3777" s="338" t="s">
        <v>413</v>
      </c>
      <c r="H3777" s="338" t="s">
        <v>425</v>
      </c>
      <c r="I3777" s="338" t="s">
        <v>411</v>
      </c>
      <c r="J3777" s="339"/>
      <c r="K3777" s="339"/>
      <c r="L3777" s="339">
        <v>0.41419499999999998</v>
      </c>
      <c r="M3777" s="339">
        <v>4.7632399999999997</v>
      </c>
      <c r="N3777" s="338"/>
      <c r="O3777" s="338" t="s">
        <v>417</v>
      </c>
      <c r="P3777" s="338" t="s">
        <v>543</v>
      </c>
    </row>
    <row r="3778" spans="2:16" x14ac:dyDescent="0.25">
      <c r="B3778" s="336" t="s">
        <v>416</v>
      </c>
      <c r="C3778" s="337">
        <v>39003</v>
      </c>
      <c r="D3778" s="338" t="s">
        <v>2697</v>
      </c>
      <c r="E3778" s="336" t="s">
        <v>1322</v>
      </c>
      <c r="F3778" s="338" t="s">
        <v>430</v>
      </c>
      <c r="G3778" s="338" t="s">
        <v>413</v>
      </c>
      <c r="H3778" s="338" t="s">
        <v>412</v>
      </c>
      <c r="I3778" s="338" t="s">
        <v>411</v>
      </c>
      <c r="J3778" s="339"/>
      <c r="K3778" s="339"/>
      <c r="L3778" s="339">
        <v>0.87180500000000005</v>
      </c>
      <c r="M3778" s="339">
        <v>12.384600000000001</v>
      </c>
      <c r="N3778" s="338" t="s">
        <v>417</v>
      </c>
      <c r="O3778" s="338" t="s">
        <v>408</v>
      </c>
      <c r="P3778" s="338" t="s">
        <v>417</v>
      </c>
    </row>
    <row r="3779" spans="2:16" x14ac:dyDescent="0.25">
      <c r="B3779" s="336" t="s">
        <v>416</v>
      </c>
      <c r="C3779" s="337">
        <v>39003</v>
      </c>
      <c r="D3779" s="338" t="s">
        <v>2696</v>
      </c>
      <c r="E3779" s="336" t="s">
        <v>1322</v>
      </c>
      <c r="F3779" s="338"/>
      <c r="G3779" s="338" t="s">
        <v>413</v>
      </c>
      <c r="H3779" s="338" t="s">
        <v>412</v>
      </c>
      <c r="I3779" s="338" t="s">
        <v>411</v>
      </c>
      <c r="J3779" s="339"/>
      <c r="K3779" s="339"/>
      <c r="L3779" s="339" t="s">
        <v>409</v>
      </c>
      <c r="M3779" s="339" t="s">
        <v>409</v>
      </c>
      <c r="N3779" s="338" t="s">
        <v>417</v>
      </c>
      <c r="O3779" s="338" t="s">
        <v>409</v>
      </c>
      <c r="P3779" s="338" t="s">
        <v>417</v>
      </c>
    </row>
    <row r="3780" spans="2:16" x14ac:dyDescent="0.25">
      <c r="B3780" s="336" t="s">
        <v>416</v>
      </c>
      <c r="C3780" s="337">
        <v>39002</v>
      </c>
      <c r="D3780" s="338" t="s">
        <v>2695</v>
      </c>
      <c r="E3780" s="336" t="s">
        <v>1870</v>
      </c>
      <c r="F3780" s="338" t="s">
        <v>2694</v>
      </c>
      <c r="G3780" s="338" t="s">
        <v>413</v>
      </c>
      <c r="H3780" s="338" t="s">
        <v>412</v>
      </c>
      <c r="I3780" s="338" t="s">
        <v>411</v>
      </c>
      <c r="J3780" s="339"/>
      <c r="K3780" s="339"/>
      <c r="L3780" s="339">
        <v>0.530663</v>
      </c>
      <c r="M3780" s="339">
        <v>6.6890900000000002</v>
      </c>
      <c r="N3780" s="338" t="s">
        <v>417</v>
      </c>
      <c r="O3780" s="338" t="s">
        <v>410</v>
      </c>
      <c r="P3780" s="338" t="s">
        <v>417</v>
      </c>
    </row>
    <row r="3781" spans="2:16" x14ac:dyDescent="0.25">
      <c r="B3781" s="336" t="s">
        <v>416</v>
      </c>
      <c r="C3781" s="337">
        <v>39002</v>
      </c>
      <c r="D3781" s="338" t="s">
        <v>2693</v>
      </c>
      <c r="E3781" s="336" t="s">
        <v>2692</v>
      </c>
      <c r="F3781" s="338" t="s">
        <v>1855</v>
      </c>
      <c r="G3781" s="338">
        <v>31</v>
      </c>
      <c r="H3781" s="338" t="s">
        <v>425</v>
      </c>
      <c r="I3781" s="338" t="s">
        <v>411</v>
      </c>
      <c r="J3781" s="339"/>
      <c r="K3781" s="339"/>
      <c r="L3781" s="339">
        <v>1.1261000000000001</v>
      </c>
      <c r="M3781" s="339">
        <v>8.29068</v>
      </c>
      <c r="N3781" s="338"/>
      <c r="O3781" s="338" t="s">
        <v>417</v>
      </c>
      <c r="P3781" s="338" t="s">
        <v>443</v>
      </c>
    </row>
    <row r="3782" spans="2:16" x14ac:dyDescent="0.25">
      <c r="B3782" s="336" t="s">
        <v>416</v>
      </c>
      <c r="C3782" s="337">
        <v>39002</v>
      </c>
      <c r="D3782" s="338" t="s">
        <v>2691</v>
      </c>
      <c r="E3782" s="336" t="s">
        <v>423</v>
      </c>
      <c r="F3782" s="338" t="s">
        <v>2690</v>
      </c>
      <c r="G3782" s="338" t="s">
        <v>413</v>
      </c>
      <c r="H3782" s="338" t="s">
        <v>412</v>
      </c>
      <c r="I3782" s="338" t="s">
        <v>411</v>
      </c>
      <c r="J3782" s="339"/>
      <c r="K3782" s="339"/>
      <c r="L3782" s="339">
        <v>1.3128</v>
      </c>
      <c r="M3782" s="339"/>
      <c r="N3782" s="338" t="s">
        <v>417</v>
      </c>
      <c r="O3782" s="338" t="s">
        <v>417</v>
      </c>
      <c r="P3782" s="338"/>
    </row>
    <row r="3783" spans="2:16" x14ac:dyDescent="0.25">
      <c r="B3783" s="336" t="s">
        <v>416</v>
      </c>
      <c r="C3783" s="337">
        <v>39001</v>
      </c>
      <c r="D3783" s="338" t="s">
        <v>2689</v>
      </c>
      <c r="E3783" s="336" t="s">
        <v>2688</v>
      </c>
      <c r="F3783" s="338"/>
      <c r="G3783" s="338">
        <v>110</v>
      </c>
      <c r="H3783" s="338" t="s">
        <v>425</v>
      </c>
      <c r="I3783" s="338" t="s">
        <v>411</v>
      </c>
      <c r="J3783" s="339"/>
      <c r="K3783" s="339"/>
      <c r="L3783" s="339" t="s">
        <v>409</v>
      </c>
      <c r="M3783" s="339" t="s">
        <v>409</v>
      </c>
      <c r="N3783" s="338" t="s">
        <v>417</v>
      </c>
      <c r="O3783" s="338" t="s">
        <v>409</v>
      </c>
      <c r="P3783" s="338" t="s">
        <v>417</v>
      </c>
    </row>
    <row r="3784" spans="2:16" x14ac:dyDescent="0.25">
      <c r="B3784" s="336" t="s">
        <v>416</v>
      </c>
      <c r="C3784" s="337">
        <v>39000</v>
      </c>
      <c r="D3784" s="338" t="s">
        <v>2687</v>
      </c>
      <c r="E3784" s="336" t="s">
        <v>2686</v>
      </c>
      <c r="F3784" s="338" t="s">
        <v>2012</v>
      </c>
      <c r="G3784" s="338" t="s">
        <v>413</v>
      </c>
      <c r="H3784" s="338" t="s">
        <v>425</v>
      </c>
      <c r="I3784" s="338" t="s">
        <v>411</v>
      </c>
      <c r="J3784" s="339"/>
      <c r="K3784" s="339"/>
      <c r="L3784" s="339">
        <v>0.26979999999999998</v>
      </c>
      <c r="M3784" s="339"/>
      <c r="N3784" s="338"/>
      <c r="O3784" s="338" t="s">
        <v>410</v>
      </c>
      <c r="P3784" s="338" t="s">
        <v>417</v>
      </c>
    </row>
    <row r="3785" spans="2:16" x14ac:dyDescent="0.25">
      <c r="B3785" s="336" t="s">
        <v>416</v>
      </c>
      <c r="C3785" s="337">
        <v>39000</v>
      </c>
      <c r="D3785" s="338" t="s">
        <v>2685</v>
      </c>
      <c r="E3785" s="336" t="s">
        <v>656</v>
      </c>
      <c r="F3785" s="338"/>
      <c r="G3785" s="338" t="s">
        <v>413</v>
      </c>
      <c r="H3785" s="338" t="s">
        <v>412</v>
      </c>
      <c r="I3785" s="338" t="s">
        <v>411</v>
      </c>
      <c r="J3785" s="339"/>
      <c r="K3785" s="339"/>
      <c r="L3785" s="339" t="s">
        <v>409</v>
      </c>
      <c r="M3785" s="339" t="s">
        <v>409</v>
      </c>
      <c r="N3785" s="338" t="s">
        <v>417</v>
      </c>
      <c r="O3785" s="338" t="s">
        <v>409</v>
      </c>
      <c r="P3785" s="338" t="s">
        <v>408</v>
      </c>
    </row>
    <row r="3786" spans="2:16" x14ac:dyDescent="0.25">
      <c r="B3786" s="336" t="s">
        <v>416</v>
      </c>
      <c r="C3786" s="337">
        <v>39000</v>
      </c>
      <c r="D3786" s="338" t="s">
        <v>2684</v>
      </c>
      <c r="E3786" s="336" t="s">
        <v>2683</v>
      </c>
      <c r="F3786" s="338"/>
      <c r="G3786" s="338" t="s">
        <v>413</v>
      </c>
      <c r="H3786" s="338" t="s">
        <v>425</v>
      </c>
      <c r="I3786" s="338" t="s">
        <v>411</v>
      </c>
      <c r="J3786" s="339"/>
      <c r="K3786" s="339"/>
      <c r="L3786" s="339" t="s">
        <v>409</v>
      </c>
      <c r="M3786" s="339" t="s">
        <v>409</v>
      </c>
      <c r="N3786" s="338"/>
      <c r="O3786" s="338" t="s">
        <v>409</v>
      </c>
      <c r="P3786" s="338" t="s">
        <v>432</v>
      </c>
    </row>
    <row r="3787" spans="2:16" x14ac:dyDescent="0.25">
      <c r="B3787" s="336" t="s">
        <v>416</v>
      </c>
      <c r="C3787" s="337">
        <v>39000</v>
      </c>
      <c r="D3787" s="338" t="s">
        <v>2682</v>
      </c>
      <c r="E3787" s="336" t="s">
        <v>1578</v>
      </c>
      <c r="F3787" s="338" t="s">
        <v>2648</v>
      </c>
      <c r="G3787" s="338">
        <v>42.5</v>
      </c>
      <c r="H3787" s="338" t="s">
        <v>425</v>
      </c>
      <c r="I3787" s="338" t="s">
        <v>411</v>
      </c>
      <c r="J3787" s="339"/>
      <c r="K3787" s="339"/>
      <c r="L3787" s="339"/>
      <c r="M3787" s="339"/>
      <c r="N3787" s="338" t="s">
        <v>417</v>
      </c>
      <c r="O3787" s="338" t="s">
        <v>443</v>
      </c>
      <c r="P3787" s="338" t="s">
        <v>417</v>
      </c>
    </row>
    <row r="3788" spans="2:16" x14ac:dyDescent="0.25">
      <c r="B3788" s="336" t="s">
        <v>416</v>
      </c>
      <c r="C3788" s="337">
        <v>39000</v>
      </c>
      <c r="D3788" s="338" t="s">
        <v>2681</v>
      </c>
      <c r="E3788" s="336" t="s">
        <v>1572</v>
      </c>
      <c r="F3788" s="338" t="s">
        <v>2680</v>
      </c>
      <c r="G3788" s="338">
        <v>15.3</v>
      </c>
      <c r="H3788" s="338" t="s">
        <v>425</v>
      </c>
      <c r="I3788" s="338" t="s">
        <v>411</v>
      </c>
      <c r="J3788" s="339"/>
      <c r="K3788" s="339"/>
      <c r="L3788" s="339"/>
      <c r="M3788" s="339"/>
      <c r="N3788" s="338"/>
      <c r="O3788" s="338" t="s">
        <v>443</v>
      </c>
      <c r="P3788" s="338" t="s">
        <v>417</v>
      </c>
    </row>
    <row r="3789" spans="2:16" x14ac:dyDescent="0.25">
      <c r="B3789" s="336" t="s">
        <v>416</v>
      </c>
      <c r="C3789" s="337">
        <v>39000</v>
      </c>
      <c r="D3789" s="338" t="s">
        <v>2679</v>
      </c>
      <c r="E3789" s="336" t="s">
        <v>485</v>
      </c>
      <c r="F3789" s="338"/>
      <c r="G3789" s="338">
        <v>1.5</v>
      </c>
      <c r="H3789" s="338" t="s">
        <v>429</v>
      </c>
      <c r="I3789" s="338" t="s">
        <v>411</v>
      </c>
      <c r="J3789" s="339"/>
      <c r="K3789" s="339"/>
      <c r="L3789" s="339" t="s">
        <v>409</v>
      </c>
      <c r="M3789" s="339" t="s">
        <v>409</v>
      </c>
      <c r="N3789" s="338" t="s">
        <v>417</v>
      </c>
      <c r="O3789" s="338" t="s">
        <v>409</v>
      </c>
      <c r="P3789" s="338" t="s">
        <v>417</v>
      </c>
    </row>
    <row r="3790" spans="2:16" x14ac:dyDescent="0.25">
      <c r="B3790" s="336" t="s">
        <v>416</v>
      </c>
      <c r="C3790" s="337">
        <v>39000</v>
      </c>
      <c r="D3790" s="338" t="s">
        <v>2678</v>
      </c>
      <c r="E3790" s="336" t="s">
        <v>463</v>
      </c>
      <c r="F3790" s="338"/>
      <c r="G3790" s="338" t="s">
        <v>413</v>
      </c>
      <c r="H3790" s="338" t="s">
        <v>425</v>
      </c>
      <c r="I3790" s="338" t="s">
        <v>411</v>
      </c>
      <c r="J3790" s="339"/>
      <c r="K3790" s="339"/>
      <c r="L3790" s="339" t="s">
        <v>409</v>
      </c>
      <c r="M3790" s="339" t="s">
        <v>409</v>
      </c>
      <c r="N3790" s="338"/>
      <c r="O3790" s="338" t="s">
        <v>409</v>
      </c>
      <c r="P3790" s="338" t="s">
        <v>417</v>
      </c>
    </row>
    <row r="3791" spans="2:16" x14ac:dyDescent="0.25">
      <c r="B3791" s="336" t="s">
        <v>416</v>
      </c>
      <c r="C3791" s="337">
        <v>39000</v>
      </c>
      <c r="D3791" s="338" t="s">
        <v>2677</v>
      </c>
      <c r="E3791" s="336" t="s">
        <v>1126</v>
      </c>
      <c r="F3791" s="338"/>
      <c r="G3791" s="338" t="s">
        <v>413</v>
      </c>
      <c r="H3791" s="338" t="s">
        <v>429</v>
      </c>
      <c r="I3791" s="338" t="s">
        <v>411</v>
      </c>
      <c r="J3791" s="339"/>
      <c r="K3791" s="339"/>
      <c r="L3791" s="339" t="s">
        <v>409</v>
      </c>
      <c r="M3791" s="339" t="s">
        <v>409</v>
      </c>
      <c r="N3791" s="338" t="s">
        <v>417</v>
      </c>
      <c r="O3791" s="338" t="s">
        <v>409</v>
      </c>
      <c r="P3791" s="338" t="s">
        <v>417</v>
      </c>
    </row>
    <row r="3792" spans="2:16" x14ac:dyDescent="0.25">
      <c r="B3792" s="336" t="s">
        <v>416</v>
      </c>
      <c r="C3792" s="337">
        <v>39000</v>
      </c>
      <c r="D3792" s="338" t="s">
        <v>2676</v>
      </c>
      <c r="E3792" s="336" t="s">
        <v>2675</v>
      </c>
      <c r="F3792" s="338" t="s">
        <v>916</v>
      </c>
      <c r="G3792" s="338">
        <v>192</v>
      </c>
      <c r="H3792" s="338" t="s">
        <v>425</v>
      </c>
      <c r="I3792" s="338" t="s">
        <v>411</v>
      </c>
      <c r="J3792" s="339"/>
      <c r="K3792" s="339"/>
      <c r="L3792" s="339"/>
      <c r="M3792" s="339"/>
      <c r="N3792" s="338"/>
      <c r="O3792" s="338" t="s">
        <v>417</v>
      </c>
      <c r="P3792" s="338" t="s">
        <v>443</v>
      </c>
    </row>
    <row r="3793" spans="2:16" x14ac:dyDescent="0.25">
      <c r="B3793" s="336" t="s">
        <v>416</v>
      </c>
      <c r="C3793" s="337">
        <v>39000</v>
      </c>
      <c r="D3793" s="338" t="s">
        <v>2674</v>
      </c>
      <c r="E3793" s="336" t="s">
        <v>656</v>
      </c>
      <c r="F3793" s="338"/>
      <c r="G3793" s="338" t="s">
        <v>413</v>
      </c>
      <c r="H3793" s="338" t="s">
        <v>412</v>
      </c>
      <c r="I3793" s="338" t="s">
        <v>411</v>
      </c>
      <c r="J3793" s="339"/>
      <c r="K3793" s="339"/>
      <c r="L3793" s="339" t="s">
        <v>409</v>
      </c>
      <c r="M3793" s="339" t="s">
        <v>409</v>
      </c>
      <c r="N3793" s="338" t="s">
        <v>417</v>
      </c>
      <c r="O3793" s="338" t="s">
        <v>409</v>
      </c>
      <c r="P3793" s="338" t="s">
        <v>408</v>
      </c>
    </row>
    <row r="3794" spans="2:16" x14ac:dyDescent="0.25">
      <c r="B3794" s="336" t="s">
        <v>416</v>
      </c>
      <c r="C3794" s="337">
        <v>38999</v>
      </c>
      <c r="D3794" s="338" t="s">
        <v>2673</v>
      </c>
      <c r="E3794" s="336" t="s">
        <v>1754</v>
      </c>
      <c r="F3794" s="338"/>
      <c r="G3794" s="338">
        <v>0.34</v>
      </c>
      <c r="H3794" s="338" t="s">
        <v>336</v>
      </c>
      <c r="I3794" s="338" t="s">
        <v>411</v>
      </c>
      <c r="J3794" s="339"/>
      <c r="K3794" s="339"/>
      <c r="L3794" s="339" t="s">
        <v>409</v>
      </c>
      <c r="M3794" s="339" t="s">
        <v>409</v>
      </c>
      <c r="N3794" s="338" t="s">
        <v>432</v>
      </c>
      <c r="O3794" s="338" t="s">
        <v>409</v>
      </c>
      <c r="P3794" s="338" t="s">
        <v>417</v>
      </c>
    </row>
    <row r="3795" spans="2:16" x14ac:dyDescent="0.25">
      <c r="B3795" s="336" t="s">
        <v>416</v>
      </c>
      <c r="C3795" s="337">
        <v>38996</v>
      </c>
      <c r="D3795" s="338" t="s">
        <v>2672</v>
      </c>
      <c r="E3795" s="336" t="s">
        <v>2671</v>
      </c>
      <c r="F3795" s="338"/>
      <c r="G3795" s="338">
        <v>2.5</v>
      </c>
      <c r="H3795" s="338" t="s">
        <v>425</v>
      </c>
      <c r="I3795" s="338" t="s">
        <v>411</v>
      </c>
      <c r="J3795" s="339"/>
      <c r="K3795" s="339"/>
      <c r="L3795" s="339" t="s">
        <v>409</v>
      </c>
      <c r="M3795" s="339" t="s">
        <v>409</v>
      </c>
      <c r="N3795" s="338" t="s">
        <v>417</v>
      </c>
      <c r="O3795" s="338" t="s">
        <v>409</v>
      </c>
      <c r="P3795" s="338" t="s">
        <v>417</v>
      </c>
    </row>
    <row r="3796" spans="2:16" x14ac:dyDescent="0.25">
      <c r="B3796" s="336" t="s">
        <v>416</v>
      </c>
      <c r="C3796" s="337">
        <v>38996</v>
      </c>
      <c r="D3796" s="338" t="s">
        <v>2670</v>
      </c>
      <c r="E3796" s="336" t="s">
        <v>2669</v>
      </c>
      <c r="F3796" s="338"/>
      <c r="G3796" s="338">
        <v>70.790000000000006</v>
      </c>
      <c r="H3796" s="338" t="s">
        <v>429</v>
      </c>
      <c r="I3796" s="338" t="s">
        <v>411</v>
      </c>
      <c r="J3796" s="339"/>
      <c r="K3796" s="339"/>
      <c r="L3796" s="339" t="s">
        <v>409</v>
      </c>
      <c r="M3796" s="339" t="s">
        <v>409</v>
      </c>
      <c r="N3796" s="338"/>
      <c r="O3796" s="338" t="s">
        <v>409</v>
      </c>
      <c r="P3796" s="338" t="s">
        <v>417</v>
      </c>
    </row>
    <row r="3797" spans="2:16" x14ac:dyDescent="0.25">
      <c r="B3797" s="336" t="s">
        <v>416</v>
      </c>
      <c r="C3797" s="337">
        <v>38996</v>
      </c>
      <c r="D3797" s="338" t="s">
        <v>2668</v>
      </c>
      <c r="E3797" s="336" t="s">
        <v>1743</v>
      </c>
      <c r="F3797" s="338" t="s">
        <v>1657</v>
      </c>
      <c r="G3797" s="338">
        <v>410</v>
      </c>
      <c r="H3797" s="338" t="s">
        <v>425</v>
      </c>
      <c r="I3797" s="338" t="s">
        <v>411</v>
      </c>
      <c r="J3797" s="339"/>
      <c r="K3797" s="339"/>
      <c r="L3797" s="339">
        <v>3.4981300000000002</v>
      </c>
      <c r="M3797" s="339">
        <v>10.817399999999999</v>
      </c>
      <c r="N3797" s="338"/>
      <c r="O3797" s="338" t="s">
        <v>410</v>
      </c>
      <c r="P3797" s="338" t="s">
        <v>410</v>
      </c>
    </row>
    <row r="3798" spans="2:16" x14ac:dyDescent="0.25">
      <c r="B3798" s="336" t="s">
        <v>416</v>
      </c>
      <c r="C3798" s="337">
        <v>38996</v>
      </c>
      <c r="D3798" s="338" t="s">
        <v>2667</v>
      </c>
      <c r="E3798" s="336" t="s">
        <v>2666</v>
      </c>
      <c r="F3798" s="338"/>
      <c r="G3798" s="338">
        <v>134.30000000000001</v>
      </c>
      <c r="H3798" s="338" t="s">
        <v>425</v>
      </c>
      <c r="I3798" s="338" t="s">
        <v>411</v>
      </c>
      <c r="J3798" s="339"/>
      <c r="K3798" s="339"/>
      <c r="L3798" s="339" t="s">
        <v>409</v>
      </c>
      <c r="M3798" s="339" t="s">
        <v>409</v>
      </c>
      <c r="N3798" s="338" t="s">
        <v>417</v>
      </c>
      <c r="O3798" s="338" t="s">
        <v>409</v>
      </c>
      <c r="P3798" s="338"/>
    </row>
    <row r="3799" spans="2:16" x14ac:dyDescent="0.25">
      <c r="B3799" s="336" t="s">
        <v>416</v>
      </c>
      <c r="C3799" s="337">
        <v>38995</v>
      </c>
      <c r="D3799" s="338" t="s">
        <v>2665</v>
      </c>
      <c r="E3799" s="336" t="s">
        <v>598</v>
      </c>
      <c r="F3799" s="338"/>
      <c r="G3799" s="338" t="s">
        <v>413</v>
      </c>
      <c r="H3799" s="338" t="s">
        <v>425</v>
      </c>
      <c r="I3799" s="338" t="s">
        <v>411</v>
      </c>
      <c r="J3799" s="339"/>
      <c r="K3799" s="339"/>
      <c r="L3799" s="339" t="s">
        <v>409</v>
      </c>
      <c r="M3799" s="339" t="s">
        <v>409</v>
      </c>
      <c r="N3799" s="338"/>
      <c r="O3799" s="338" t="s">
        <v>409</v>
      </c>
      <c r="P3799" s="338" t="s">
        <v>417</v>
      </c>
    </row>
    <row r="3800" spans="2:16" x14ac:dyDescent="0.25">
      <c r="B3800" s="336" t="s">
        <v>416</v>
      </c>
      <c r="C3800" s="337">
        <v>38995</v>
      </c>
      <c r="D3800" s="338" t="s">
        <v>2664</v>
      </c>
      <c r="E3800" s="336" t="s">
        <v>441</v>
      </c>
      <c r="F3800" s="338" t="s">
        <v>2663</v>
      </c>
      <c r="G3800" s="338" t="s">
        <v>413</v>
      </c>
      <c r="H3800" s="338" t="s">
        <v>425</v>
      </c>
      <c r="I3800" s="338" t="s">
        <v>411</v>
      </c>
      <c r="J3800" s="339"/>
      <c r="K3800" s="339"/>
      <c r="L3800" s="339">
        <v>0.57962100000000005</v>
      </c>
      <c r="M3800" s="339">
        <v>5.40618</v>
      </c>
      <c r="N3800" s="338"/>
      <c r="O3800" s="338" t="s">
        <v>408</v>
      </c>
      <c r="P3800" s="338" t="s">
        <v>417</v>
      </c>
    </row>
    <row r="3801" spans="2:16" x14ac:dyDescent="0.25">
      <c r="B3801" s="336" t="s">
        <v>416</v>
      </c>
      <c r="C3801" s="337">
        <v>38995</v>
      </c>
      <c r="D3801" s="338" t="s">
        <v>2662</v>
      </c>
      <c r="E3801" s="336" t="s">
        <v>1722</v>
      </c>
      <c r="F3801" s="338"/>
      <c r="G3801" s="338">
        <v>2.8</v>
      </c>
      <c r="H3801" s="338" t="s">
        <v>425</v>
      </c>
      <c r="I3801" s="338" t="s">
        <v>411</v>
      </c>
      <c r="J3801" s="339"/>
      <c r="K3801" s="339"/>
      <c r="L3801" s="339" t="s">
        <v>409</v>
      </c>
      <c r="M3801" s="339" t="s">
        <v>409</v>
      </c>
      <c r="N3801" s="338"/>
      <c r="O3801" s="338" t="s">
        <v>409</v>
      </c>
      <c r="P3801" s="338" t="s">
        <v>417</v>
      </c>
    </row>
    <row r="3802" spans="2:16" x14ac:dyDescent="0.25">
      <c r="B3802" s="336" t="s">
        <v>416</v>
      </c>
      <c r="C3802" s="337">
        <v>38995</v>
      </c>
      <c r="D3802" s="338" t="s">
        <v>2661</v>
      </c>
      <c r="E3802" s="336" t="s">
        <v>2660</v>
      </c>
      <c r="F3802" s="338"/>
      <c r="G3802" s="338" t="s">
        <v>413</v>
      </c>
      <c r="H3802" s="338" t="s">
        <v>412</v>
      </c>
      <c r="I3802" s="338" t="s">
        <v>411</v>
      </c>
      <c r="J3802" s="339"/>
      <c r="K3802" s="339"/>
      <c r="L3802" s="339" t="s">
        <v>409</v>
      </c>
      <c r="M3802" s="339" t="s">
        <v>409</v>
      </c>
      <c r="N3802" s="338" t="s">
        <v>417</v>
      </c>
      <c r="O3802" s="338" t="s">
        <v>409</v>
      </c>
      <c r="P3802" s="338" t="s">
        <v>410</v>
      </c>
    </row>
    <row r="3803" spans="2:16" x14ac:dyDescent="0.25">
      <c r="B3803" s="336" t="s">
        <v>416</v>
      </c>
      <c r="C3803" s="337">
        <v>38995</v>
      </c>
      <c r="D3803" s="338" t="s">
        <v>2659</v>
      </c>
      <c r="E3803" s="336" t="s">
        <v>514</v>
      </c>
      <c r="F3803" s="338" t="s">
        <v>2658</v>
      </c>
      <c r="G3803" s="338" t="s">
        <v>413</v>
      </c>
      <c r="H3803" s="338" t="s">
        <v>425</v>
      </c>
      <c r="I3803" s="338" t="s">
        <v>411</v>
      </c>
      <c r="J3803" s="339"/>
      <c r="K3803" s="339"/>
      <c r="L3803" s="339"/>
      <c r="M3803" s="339"/>
      <c r="N3803" s="338" t="s">
        <v>417</v>
      </c>
      <c r="O3803" s="338" t="s">
        <v>417</v>
      </c>
      <c r="P3803" s="338"/>
    </row>
    <row r="3804" spans="2:16" x14ac:dyDescent="0.25">
      <c r="B3804" s="336" t="s">
        <v>416</v>
      </c>
      <c r="C3804" s="337">
        <v>38992</v>
      </c>
      <c r="D3804" s="338" t="s">
        <v>2657</v>
      </c>
      <c r="E3804" s="336" t="s">
        <v>2308</v>
      </c>
      <c r="F3804" s="338"/>
      <c r="G3804" s="338" t="s">
        <v>413</v>
      </c>
      <c r="H3804" s="338" t="s">
        <v>412</v>
      </c>
      <c r="I3804" s="338" t="s">
        <v>411</v>
      </c>
      <c r="J3804" s="339"/>
      <c r="K3804" s="339"/>
      <c r="L3804" s="339" t="s">
        <v>409</v>
      </c>
      <c r="M3804" s="339" t="s">
        <v>409</v>
      </c>
      <c r="N3804" s="338"/>
      <c r="O3804" s="338" t="s">
        <v>409</v>
      </c>
      <c r="P3804" s="338" t="s">
        <v>417</v>
      </c>
    </row>
    <row r="3805" spans="2:16" x14ac:dyDescent="0.25">
      <c r="B3805" s="336" t="s">
        <v>416</v>
      </c>
      <c r="C3805" s="337">
        <v>38992</v>
      </c>
      <c r="D3805" s="338" t="s">
        <v>2656</v>
      </c>
      <c r="E3805" s="336" t="s">
        <v>2365</v>
      </c>
      <c r="F3805" s="338"/>
      <c r="G3805" s="338" t="s">
        <v>413</v>
      </c>
      <c r="H3805" s="338" t="s">
        <v>412</v>
      </c>
      <c r="I3805" s="338" t="s">
        <v>411</v>
      </c>
      <c r="J3805" s="339"/>
      <c r="K3805" s="339"/>
      <c r="L3805" s="339" t="s">
        <v>409</v>
      </c>
      <c r="M3805" s="339" t="s">
        <v>409</v>
      </c>
      <c r="N3805" s="338" t="s">
        <v>417</v>
      </c>
      <c r="O3805" s="338" t="s">
        <v>409</v>
      </c>
      <c r="P3805" s="338" t="s">
        <v>417</v>
      </c>
    </row>
    <row r="3806" spans="2:16" x14ac:dyDescent="0.25">
      <c r="B3806" s="336" t="s">
        <v>459</v>
      </c>
      <c r="C3806" s="337">
        <v>38990</v>
      </c>
      <c r="D3806" s="338" t="s">
        <v>2655</v>
      </c>
      <c r="E3806" s="336" t="s">
        <v>2654</v>
      </c>
      <c r="F3806" s="338"/>
      <c r="G3806" s="338" t="s">
        <v>413</v>
      </c>
      <c r="H3806" s="338" t="s">
        <v>425</v>
      </c>
      <c r="I3806" s="338" t="s">
        <v>411</v>
      </c>
      <c r="J3806" s="339"/>
      <c r="K3806" s="339"/>
      <c r="L3806" s="339" t="s">
        <v>409</v>
      </c>
      <c r="M3806" s="339" t="s">
        <v>409</v>
      </c>
      <c r="N3806" s="338" t="s">
        <v>410</v>
      </c>
      <c r="O3806" s="338" t="s">
        <v>409</v>
      </c>
      <c r="P3806" s="338" t="s">
        <v>443</v>
      </c>
    </row>
    <row r="3807" spans="2:16" x14ac:dyDescent="0.25">
      <c r="B3807" s="336" t="s">
        <v>416</v>
      </c>
      <c r="C3807" s="337">
        <v>38990</v>
      </c>
      <c r="D3807" s="338" t="s">
        <v>2653</v>
      </c>
      <c r="E3807" s="336" t="s">
        <v>2652</v>
      </c>
      <c r="F3807" s="338" t="s">
        <v>2651</v>
      </c>
      <c r="G3807" s="338" t="s">
        <v>413</v>
      </c>
      <c r="H3807" s="338" t="s">
        <v>425</v>
      </c>
      <c r="I3807" s="338" t="s">
        <v>411</v>
      </c>
      <c r="J3807" s="339"/>
      <c r="K3807" s="339"/>
      <c r="L3807" s="339"/>
      <c r="M3807" s="339"/>
      <c r="N3807" s="338" t="s">
        <v>417</v>
      </c>
      <c r="O3807" s="338" t="s">
        <v>443</v>
      </c>
      <c r="P3807" s="338" t="s">
        <v>443</v>
      </c>
    </row>
    <row r="3808" spans="2:16" x14ac:dyDescent="0.25">
      <c r="B3808" s="336" t="s">
        <v>416</v>
      </c>
      <c r="C3808" s="337">
        <v>38989</v>
      </c>
      <c r="D3808" s="338" t="s">
        <v>2650</v>
      </c>
      <c r="E3808" s="336" t="s">
        <v>2263</v>
      </c>
      <c r="F3808" s="338"/>
      <c r="G3808" s="338" t="s">
        <v>413</v>
      </c>
      <c r="H3808" s="338" t="s">
        <v>412</v>
      </c>
      <c r="I3808" s="338" t="s">
        <v>411</v>
      </c>
      <c r="J3808" s="339"/>
      <c r="K3808" s="339"/>
      <c r="L3808" s="339" t="s">
        <v>409</v>
      </c>
      <c r="M3808" s="339" t="s">
        <v>409</v>
      </c>
      <c r="N3808" s="338" t="s">
        <v>417</v>
      </c>
      <c r="O3808" s="338" t="s">
        <v>409</v>
      </c>
      <c r="P3808" s="338" t="s">
        <v>417</v>
      </c>
    </row>
    <row r="3809" spans="2:16" x14ac:dyDescent="0.25">
      <c r="B3809" s="336" t="s">
        <v>416</v>
      </c>
      <c r="C3809" s="337">
        <v>38989</v>
      </c>
      <c r="D3809" s="338" t="s">
        <v>554</v>
      </c>
      <c r="E3809" s="336" t="s">
        <v>2649</v>
      </c>
      <c r="F3809" s="338" t="s">
        <v>2648</v>
      </c>
      <c r="G3809" s="338">
        <v>41.9</v>
      </c>
      <c r="H3809" s="338" t="s">
        <v>336</v>
      </c>
      <c r="I3809" s="338" t="s">
        <v>411</v>
      </c>
      <c r="J3809" s="339"/>
      <c r="K3809" s="339"/>
      <c r="L3809" s="339"/>
      <c r="M3809" s="339"/>
      <c r="N3809" s="338" t="s">
        <v>417</v>
      </c>
      <c r="O3809" s="338" t="s">
        <v>443</v>
      </c>
      <c r="P3809" s="338"/>
    </row>
    <row r="3810" spans="2:16" x14ac:dyDescent="0.25">
      <c r="B3810" s="336" t="s">
        <v>416</v>
      </c>
      <c r="C3810" s="337">
        <v>38989</v>
      </c>
      <c r="D3810" s="338" t="s">
        <v>2647</v>
      </c>
      <c r="E3810" s="336" t="s">
        <v>2646</v>
      </c>
      <c r="F3810" s="338" t="s">
        <v>2645</v>
      </c>
      <c r="G3810" s="338">
        <v>200</v>
      </c>
      <c r="H3810" s="338" t="s">
        <v>425</v>
      </c>
      <c r="I3810" s="338" t="s">
        <v>411</v>
      </c>
      <c r="J3810" s="339"/>
      <c r="K3810" s="339"/>
      <c r="L3810" s="339">
        <v>2.7220399999999998</v>
      </c>
      <c r="M3810" s="339">
        <v>14.173500000000001</v>
      </c>
      <c r="N3810" s="338" t="s">
        <v>417</v>
      </c>
      <c r="O3810" s="338" t="s">
        <v>410</v>
      </c>
      <c r="P3810" s="338"/>
    </row>
    <row r="3811" spans="2:16" x14ac:dyDescent="0.25">
      <c r="B3811" s="336" t="s">
        <v>416</v>
      </c>
      <c r="C3811" s="337">
        <v>38988</v>
      </c>
      <c r="D3811" s="338" t="s">
        <v>956</v>
      </c>
      <c r="E3811" s="336" t="s">
        <v>2644</v>
      </c>
      <c r="F3811" s="338" t="s">
        <v>2643</v>
      </c>
      <c r="G3811" s="338" t="s">
        <v>413</v>
      </c>
      <c r="H3811" s="338" t="s">
        <v>425</v>
      </c>
      <c r="I3811" s="338" t="s">
        <v>411</v>
      </c>
      <c r="J3811" s="339"/>
      <c r="K3811" s="339"/>
      <c r="L3811" s="339"/>
      <c r="M3811" s="339"/>
      <c r="N3811" s="338"/>
      <c r="O3811" s="338" t="s">
        <v>432</v>
      </c>
      <c r="P3811" s="338" t="s">
        <v>432</v>
      </c>
    </row>
    <row r="3812" spans="2:16" x14ac:dyDescent="0.25">
      <c r="B3812" s="336" t="s">
        <v>416</v>
      </c>
      <c r="C3812" s="337">
        <v>38988</v>
      </c>
      <c r="D3812" s="338" t="s">
        <v>2642</v>
      </c>
      <c r="E3812" s="336" t="s">
        <v>2641</v>
      </c>
      <c r="F3812" s="338" t="s">
        <v>2640</v>
      </c>
      <c r="G3812" s="338">
        <v>50</v>
      </c>
      <c r="H3812" s="338" t="s">
        <v>425</v>
      </c>
      <c r="I3812" s="338" t="s">
        <v>411</v>
      </c>
      <c r="J3812" s="339"/>
      <c r="K3812" s="339"/>
      <c r="L3812" s="339">
        <v>1.6093900000000001</v>
      </c>
      <c r="M3812" s="339">
        <v>11.6577</v>
      </c>
      <c r="N3812" s="338"/>
      <c r="O3812" s="338" t="s">
        <v>417</v>
      </c>
      <c r="P3812" s="338" t="s">
        <v>443</v>
      </c>
    </row>
    <row r="3813" spans="2:16" x14ac:dyDescent="0.25">
      <c r="B3813" s="336" t="s">
        <v>416</v>
      </c>
      <c r="C3813" s="337">
        <v>38987</v>
      </c>
      <c r="D3813" s="338" t="s">
        <v>2639</v>
      </c>
      <c r="E3813" s="336" t="s">
        <v>2638</v>
      </c>
      <c r="F3813" s="338"/>
      <c r="G3813" s="338" t="s">
        <v>413</v>
      </c>
      <c r="H3813" s="338" t="s">
        <v>412</v>
      </c>
      <c r="I3813" s="338" t="s">
        <v>411</v>
      </c>
      <c r="J3813" s="339"/>
      <c r="K3813" s="339"/>
      <c r="L3813" s="339" t="s">
        <v>409</v>
      </c>
      <c r="M3813" s="339" t="s">
        <v>409</v>
      </c>
      <c r="N3813" s="338" t="s">
        <v>417</v>
      </c>
      <c r="O3813" s="338" t="s">
        <v>409</v>
      </c>
      <c r="P3813" s="338" t="s">
        <v>417</v>
      </c>
    </row>
    <row r="3814" spans="2:16" x14ac:dyDescent="0.25">
      <c r="B3814" s="336" t="s">
        <v>416</v>
      </c>
      <c r="C3814" s="337">
        <v>38987</v>
      </c>
      <c r="D3814" s="338" t="s">
        <v>2637</v>
      </c>
      <c r="E3814" s="336" t="s">
        <v>566</v>
      </c>
      <c r="F3814" s="338"/>
      <c r="G3814" s="338" t="s">
        <v>413</v>
      </c>
      <c r="H3814" s="338" t="s">
        <v>412</v>
      </c>
      <c r="I3814" s="338" t="s">
        <v>411</v>
      </c>
      <c r="J3814" s="339"/>
      <c r="K3814" s="339"/>
      <c r="L3814" s="339" t="s">
        <v>409</v>
      </c>
      <c r="M3814" s="339" t="s">
        <v>409</v>
      </c>
      <c r="N3814" s="338" t="s">
        <v>443</v>
      </c>
      <c r="O3814" s="338" t="s">
        <v>409</v>
      </c>
      <c r="P3814" s="338" t="s">
        <v>410</v>
      </c>
    </row>
    <row r="3815" spans="2:16" x14ac:dyDescent="0.25">
      <c r="B3815" s="336" t="s">
        <v>542</v>
      </c>
      <c r="C3815" s="337">
        <v>38986</v>
      </c>
      <c r="D3815" s="338" t="s">
        <v>1476</v>
      </c>
      <c r="E3815" s="336" t="s">
        <v>539</v>
      </c>
      <c r="F3815" s="338"/>
      <c r="G3815" s="338">
        <v>423.28</v>
      </c>
      <c r="H3815" s="338"/>
      <c r="I3815" s="338" t="s">
        <v>411</v>
      </c>
      <c r="J3815" s="339">
        <v>1.35023</v>
      </c>
      <c r="K3815" s="339">
        <v>9.3802500000000002</v>
      </c>
      <c r="L3815" s="339" t="s">
        <v>409</v>
      </c>
      <c r="M3815" s="339" t="s">
        <v>409</v>
      </c>
      <c r="N3815" s="338" t="s">
        <v>417</v>
      </c>
      <c r="O3815" s="338" t="s">
        <v>409</v>
      </c>
      <c r="P3815" s="338" t="s">
        <v>417</v>
      </c>
    </row>
    <row r="3816" spans="2:16" x14ac:dyDescent="0.25">
      <c r="B3816" s="336" t="s">
        <v>416</v>
      </c>
      <c r="C3816" s="337">
        <v>38986</v>
      </c>
      <c r="D3816" s="338" t="s">
        <v>2636</v>
      </c>
      <c r="E3816" s="336" t="s">
        <v>2635</v>
      </c>
      <c r="F3816" s="338" t="s">
        <v>889</v>
      </c>
      <c r="G3816" s="338" t="s">
        <v>413</v>
      </c>
      <c r="H3816" s="338" t="s">
        <v>425</v>
      </c>
      <c r="I3816" s="338" t="s">
        <v>411</v>
      </c>
      <c r="J3816" s="339"/>
      <c r="K3816" s="339"/>
      <c r="L3816" s="339">
        <v>2.9470299999999998</v>
      </c>
      <c r="M3816" s="339">
        <v>13.790100000000001</v>
      </c>
      <c r="N3816" s="338"/>
      <c r="O3816" s="338" t="s">
        <v>410</v>
      </c>
      <c r="P3816" s="338" t="s">
        <v>443</v>
      </c>
    </row>
    <row r="3817" spans="2:16" x14ac:dyDescent="0.25">
      <c r="B3817" s="336" t="s">
        <v>416</v>
      </c>
      <c r="C3817" s="337">
        <v>38985</v>
      </c>
      <c r="D3817" s="338" t="s">
        <v>2634</v>
      </c>
      <c r="E3817" s="336" t="s">
        <v>2633</v>
      </c>
      <c r="F3817" s="338" t="s">
        <v>2632</v>
      </c>
      <c r="G3817" s="338">
        <v>31</v>
      </c>
      <c r="H3817" s="338" t="s">
        <v>425</v>
      </c>
      <c r="I3817" s="338" t="s">
        <v>411</v>
      </c>
      <c r="J3817" s="339"/>
      <c r="K3817" s="339"/>
      <c r="L3817" s="339"/>
      <c r="M3817" s="339"/>
      <c r="N3817" s="338"/>
      <c r="O3817" s="338" t="s">
        <v>417</v>
      </c>
      <c r="P3817" s="338" t="s">
        <v>410</v>
      </c>
    </row>
    <row r="3818" spans="2:16" x14ac:dyDescent="0.25">
      <c r="B3818" s="336" t="s">
        <v>416</v>
      </c>
      <c r="C3818" s="337">
        <v>38985</v>
      </c>
      <c r="D3818" s="338" t="s">
        <v>2631</v>
      </c>
      <c r="E3818" s="336" t="s">
        <v>2630</v>
      </c>
      <c r="F3818" s="338" t="s">
        <v>2629</v>
      </c>
      <c r="G3818" s="338">
        <v>6.8</v>
      </c>
      <c r="H3818" s="338" t="s">
        <v>418</v>
      </c>
      <c r="I3818" s="338" t="s">
        <v>411</v>
      </c>
      <c r="J3818" s="339"/>
      <c r="K3818" s="339"/>
      <c r="L3818" s="339">
        <v>0.112592</v>
      </c>
      <c r="M3818" s="339">
        <v>22.709900000000001</v>
      </c>
      <c r="N3818" s="338"/>
      <c r="O3818" s="338" t="s">
        <v>417</v>
      </c>
      <c r="P3818" s="338" t="s">
        <v>417</v>
      </c>
    </row>
    <row r="3819" spans="2:16" x14ac:dyDescent="0.25">
      <c r="B3819" s="336" t="s">
        <v>416</v>
      </c>
      <c r="C3819" s="337">
        <v>38985</v>
      </c>
      <c r="D3819" s="338" t="s">
        <v>2628</v>
      </c>
      <c r="E3819" s="336" t="s">
        <v>614</v>
      </c>
      <c r="F3819" s="338"/>
      <c r="G3819" s="338" t="s">
        <v>413</v>
      </c>
      <c r="H3819" s="338" t="s">
        <v>412</v>
      </c>
      <c r="I3819" s="338" t="s">
        <v>411</v>
      </c>
      <c r="J3819" s="339"/>
      <c r="K3819" s="339"/>
      <c r="L3819" s="339" t="s">
        <v>409</v>
      </c>
      <c r="M3819" s="339" t="s">
        <v>409</v>
      </c>
      <c r="N3819" s="338" t="s">
        <v>443</v>
      </c>
      <c r="O3819" s="338" t="s">
        <v>409</v>
      </c>
      <c r="P3819" s="338" t="s">
        <v>417</v>
      </c>
    </row>
    <row r="3820" spans="2:16" x14ac:dyDescent="0.25">
      <c r="B3820" s="336" t="s">
        <v>416</v>
      </c>
      <c r="C3820" s="337">
        <v>38982</v>
      </c>
      <c r="D3820" s="338" t="s">
        <v>2627</v>
      </c>
      <c r="E3820" s="336" t="s">
        <v>2626</v>
      </c>
      <c r="F3820" s="338" t="s">
        <v>527</v>
      </c>
      <c r="G3820" s="338">
        <v>163</v>
      </c>
      <c r="H3820" s="338" t="s">
        <v>425</v>
      </c>
      <c r="I3820" s="338" t="s">
        <v>411</v>
      </c>
      <c r="J3820" s="339"/>
      <c r="K3820" s="339"/>
      <c r="L3820" s="339"/>
      <c r="M3820" s="339"/>
      <c r="N3820" s="338" t="s">
        <v>487</v>
      </c>
      <c r="O3820" s="338" t="s">
        <v>443</v>
      </c>
      <c r="P3820" s="338" t="s">
        <v>417</v>
      </c>
    </row>
    <row r="3821" spans="2:16" x14ac:dyDescent="0.25">
      <c r="B3821" s="336" t="s">
        <v>416</v>
      </c>
      <c r="C3821" s="337">
        <v>38981</v>
      </c>
      <c r="D3821" s="338" t="s">
        <v>2625</v>
      </c>
      <c r="E3821" s="336" t="s">
        <v>2605</v>
      </c>
      <c r="F3821" s="338" t="s">
        <v>2012</v>
      </c>
      <c r="G3821" s="338" t="s">
        <v>413</v>
      </c>
      <c r="H3821" s="338" t="s">
        <v>425</v>
      </c>
      <c r="I3821" s="338" t="s">
        <v>411</v>
      </c>
      <c r="J3821" s="339"/>
      <c r="K3821" s="339"/>
      <c r="L3821" s="339">
        <v>0.26979999999999998</v>
      </c>
      <c r="M3821" s="339"/>
      <c r="N3821" s="338"/>
      <c r="O3821" s="338" t="s">
        <v>410</v>
      </c>
      <c r="P3821" s="338" t="s">
        <v>417</v>
      </c>
    </row>
    <row r="3822" spans="2:16" x14ac:dyDescent="0.25">
      <c r="B3822" s="336" t="s">
        <v>416</v>
      </c>
      <c r="C3822" s="337">
        <v>38981</v>
      </c>
      <c r="D3822" s="338" t="s">
        <v>1358</v>
      </c>
      <c r="E3822" s="336" t="s">
        <v>714</v>
      </c>
      <c r="F3822" s="338"/>
      <c r="G3822" s="338">
        <v>24</v>
      </c>
      <c r="H3822" s="338" t="s">
        <v>425</v>
      </c>
      <c r="I3822" s="338" t="s">
        <v>411</v>
      </c>
      <c r="J3822" s="339">
        <v>0.223714</v>
      </c>
      <c r="K3822" s="339">
        <v>29.273299999999999</v>
      </c>
      <c r="L3822" s="339" t="s">
        <v>409</v>
      </c>
      <c r="M3822" s="339" t="s">
        <v>409</v>
      </c>
      <c r="N3822" s="338" t="s">
        <v>417</v>
      </c>
      <c r="O3822" s="338" t="s">
        <v>409</v>
      </c>
      <c r="P3822" s="338" t="s">
        <v>417</v>
      </c>
    </row>
    <row r="3823" spans="2:16" x14ac:dyDescent="0.25">
      <c r="B3823" s="336" t="s">
        <v>416</v>
      </c>
      <c r="C3823" s="337">
        <v>38980</v>
      </c>
      <c r="D3823" s="338" t="s">
        <v>2624</v>
      </c>
      <c r="E3823" s="336" t="s">
        <v>2623</v>
      </c>
      <c r="F3823" s="338" t="s">
        <v>2622</v>
      </c>
      <c r="G3823" s="338" t="s">
        <v>413</v>
      </c>
      <c r="H3823" s="338" t="s">
        <v>425</v>
      </c>
      <c r="I3823" s="338" t="s">
        <v>411</v>
      </c>
      <c r="J3823" s="339"/>
      <c r="K3823" s="339"/>
      <c r="L3823" s="339"/>
      <c r="M3823" s="339"/>
      <c r="N3823" s="338" t="s">
        <v>432</v>
      </c>
      <c r="O3823" s="338" t="s">
        <v>417</v>
      </c>
      <c r="P3823" s="338" t="s">
        <v>443</v>
      </c>
    </row>
    <row r="3824" spans="2:16" x14ac:dyDescent="0.25">
      <c r="B3824" s="336" t="s">
        <v>416</v>
      </c>
      <c r="C3824" s="337">
        <v>38979</v>
      </c>
      <c r="D3824" s="338" t="s">
        <v>2621</v>
      </c>
      <c r="E3824" s="336" t="s">
        <v>2501</v>
      </c>
      <c r="F3824" s="338"/>
      <c r="G3824" s="338" t="s">
        <v>413</v>
      </c>
      <c r="H3824" s="338" t="s">
        <v>412</v>
      </c>
      <c r="I3824" s="338" t="s">
        <v>411</v>
      </c>
      <c r="J3824" s="339"/>
      <c r="K3824" s="339"/>
      <c r="L3824" s="339" t="s">
        <v>409</v>
      </c>
      <c r="M3824" s="339" t="s">
        <v>409</v>
      </c>
      <c r="N3824" s="338" t="s">
        <v>417</v>
      </c>
      <c r="O3824" s="338" t="s">
        <v>409</v>
      </c>
      <c r="P3824" s="338" t="s">
        <v>417</v>
      </c>
    </row>
    <row r="3825" spans="2:16" x14ac:dyDescent="0.25">
      <c r="B3825" s="336" t="s">
        <v>459</v>
      </c>
      <c r="C3825" s="337">
        <v>38979</v>
      </c>
      <c r="D3825" s="338" t="s">
        <v>2030</v>
      </c>
      <c r="E3825" s="336" t="s">
        <v>2029</v>
      </c>
      <c r="F3825" s="338"/>
      <c r="G3825" s="338">
        <v>3.38</v>
      </c>
      <c r="H3825" s="338" t="s">
        <v>425</v>
      </c>
      <c r="I3825" s="338" t="s">
        <v>411</v>
      </c>
      <c r="J3825" s="339">
        <v>1.93242</v>
      </c>
      <c r="K3825" s="339">
        <v>48.497</v>
      </c>
      <c r="L3825" s="339" t="s">
        <v>409</v>
      </c>
      <c r="M3825" s="339" t="s">
        <v>409</v>
      </c>
      <c r="N3825" s="338" t="s">
        <v>417</v>
      </c>
      <c r="O3825" s="338" t="s">
        <v>409</v>
      </c>
      <c r="P3825" s="338" t="s">
        <v>417</v>
      </c>
    </row>
    <row r="3826" spans="2:16" x14ac:dyDescent="0.25">
      <c r="B3826" s="336" t="s">
        <v>416</v>
      </c>
      <c r="C3826" s="337">
        <v>38978</v>
      </c>
      <c r="D3826" s="338" t="s">
        <v>2620</v>
      </c>
      <c r="E3826" s="336" t="s">
        <v>2619</v>
      </c>
      <c r="F3826" s="338"/>
      <c r="G3826" s="338" t="s">
        <v>413</v>
      </c>
      <c r="H3826" s="338" t="s">
        <v>412</v>
      </c>
      <c r="I3826" s="338" t="s">
        <v>411</v>
      </c>
      <c r="J3826" s="339"/>
      <c r="K3826" s="339"/>
      <c r="L3826" s="339" t="s">
        <v>409</v>
      </c>
      <c r="M3826" s="339" t="s">
        <v>409</v>
      </c>
      <c r="N3826" s="338" t="s">
        <v>417</v>
      </c>
      <c r="O3826" s="338" t="s">
        <v>409</v>
      </c>
      <c r="P3826" s="338" t="s">
        <v>487</v>
      </c>
    </row>
    <row r="3827" spans="2:16" x14ac:dyDescent="0.25">
      <c r="B3827" s="336" t="s">
        <v>416</v>
      </c>
      <c r="C3827" s="337">
        <v>38978</v>
      </c>
      <c r="D3827" s="338" t="s">
        <v>2618</v>
      </c>
      <c r="E3827" s="336" t="s">
        <v>2617</v>
      </c>
      <c r="F3827" s="338"/>
      <c r="G3827" s="338">
        <v>26.78</v>
      </c>
      <c r="H3827" s="338" t="s">
        <v>425</v>
      </c>
      <c r="I3827" s="338" t="s">
        <v>411</v>
      </c>
      <c r="J3827" s="339">
        <v>0.55190399999999995</v>
      </c>
      <c r="K3827" s="339">
        <v>6.6385699999999996</v>
      </c>
      <c r="L3827" s="339" t="s">
        <v>409</v>
      </c>
      <c r="M3827" s="339" t="s">
        <v>409</v>
      </c>
      <c r="N3827" s="338" t="s">
        <v>417</v>
      </c>
      <c r="O3827" s="338" t="s">
        <v>409</v>
      </c>
      <c r="P3827" s="338" t="s">
        <v>410</v>
      </c>
    </row>
    <row r="3828" spans="2:16" x14ac:dyDescent="0.25">
      <c r="B3828" s="336" t="s">
        <v>459</v>
      </c>
      <c r="C3828" s="337">
        <v>38978</v>
      </c>
      <c r="D3828" s="338" t="s">
        <v>2616</v>
      </c>
      <c r="E3828" s="336" t="s">
        <v>614</v>
      </c>
      <c r="F3828" s="338"/>
      <c r="G3828" s="338" t="s">
        <v>413</v>
      </c>
      <c r="H3828" s="338" t="s">
        <v>412</v>
      </c>
      <c r="I3828" s="338" t="s">
        <v>411</v>
      </c>
      <c r="J3828" s="339"/>
      <c r="K3828" s="339"/>
      <c r="L3828" s="339" t="s">
        <v>409</v>
      </c>
      <c r="M3828" s="339" t="s">
        <v>409</v>
      </c>
      <c r="N3828" s="338" t="s">
        <v>417</v>
      </c>
      <c r="O3828" s="338" t="s">
        <v>409</v>
      </c>
      <c r="P3828" s="338" t="s">
        <v>417</v>
      </c>
    </row>
    <row r="3829" spans="2:16" x14ac:dyDescent="0.25">
      <c r="B3829" s="336" t="s">
        <v>416</v>
      </c>
      <c r="C3829" s="337">
        <v>38975</v>
      </c>
      <c r="D3829" s="338" t="s">
        <v>2615</v>
      </c>
      <c r="E3829" s="336" t="s">
        <v>2614</v>
      </c>
      <c r="F3829" s="338" t="s">
        <v>2237</v>
      </c>
      <c r="G3829" s="338" t="s">
        <v>413</v>
      </c>
      <c r="H3829" s="338" t="s">
        <v>425</v>
      </c>
      <c r="I3829" s="338" t="s">
        <v>411</v>
      </c>
      <c r="J3829" s="339"/>
      <c r="K3829" s="339"/>
      <c r="L3829" s="339">
        <v>0.724661</v>
      </c>
      <c r="M3829" s="339">
        <v>9.8471299999999999</v>
      </c>
      <c r="N3829" s="338" t="s">
        <v>417</v>
      </c>
      <c r="O3829" s="338" t="s">
        <v>410</v>
      </c>
      <c r="P3829" s="338" t="s">
        <v>417</v>
      </c>
    </row>
    <row r="3830" spans="2:16" x14ac:dyDescent="0.25">
      <c r="B3830" s="336" t="s">
        <v>416</v>
      </c>
      <c r="C3830" s="337">
        <v>38975</v>
      </c>
      <c r="D3830" s="338" t="s">
        <v>2613</v>
      </c>
      <c r="E3830" s="336" t="s">
        <v>2265</v>
      </c>
      <c r="F3830" s="338" t="s">
        <v>2612</v>
      </c>
      <c r="G3830" s="338" t="s">
        <v>413</v>
      </c>
      <c r="H3830" s="338" t="s">
        <v>412</v>
      </c>
      <c r="I3830" s="338" t="s">
        <v>411</v>
      </c>
      <c r="J3830" s="339"/>
      <c r="K3830" s="339"/>
      <c r="L3830" s="339"/>
      <c r="M3830" s="339"/>
      <c r="N3830" s="338"/>
      <c r="O3830" s="338" t="s">
        <v>417</v>
      </c>
      <c r="P3830" s="338" t="s">
        <v>417</v>
      </c>
    </row>
    <row r="3831" spans="2:16" x14ac:dyDescent="0.25">
      <c r="B3831" s="336" t="s">
        <v>416</v>
      </c>
      <c r="C3831" s="337">
        <v>38975</v>
      </c>
      <c r="D3831" s="338" t="s">
        <v>2611</v>
      </c>
      <c r="E3831" s="336" t="s">
        <v>978</v>
      </c>
      <c r="F3831" s="338" t="s">
        <v>2610</v>
      </c>
      <c r="G3831" s="338">
        <v>34</v>
      </c>
      <c r="H3831" s="338" t="s">
        <v>425</v>
      </c>
      <c r="I3831" s="338" t="s">
        <v>411</v>
      </c>
      <c r="J3831" s="339"/>
      <c r="K3831" s="339"/>
      <c r="L3831" s="339"/>
      <c r="M3831" s="339"/>
      <c r="N3831" s="338"/>
      <c r="O3831" s="338" t="s">
        <v>417</v>
      </c>
      <c r="P3831" s="338" t="s">
        <v>417</v>
      </c>
    </row>
    <row r="3832" spans="2:16" x14ac:dyDescent="0.25">
      <c r="B3832" s="336" t="s">
        <v>1441</v>
      </c>
      <c r="C3832" s="337">
        <v>38974</v>
      </c>
      <c r="D3832" s="338" t="s">
        <v>2609</v>
      </c>
      <c r="E3832" s="336" t="s">
        <v>614</v>
      </c>
      <c r="F3832" s="338"/>
      <c r="G3832" s="338" t="s">
        <v>413</v>
      </c>
      <c r="H3832" s="338" t="s">
        <v>412</v>
      </c>
      <c r="I3832" s="338" t="s">
        <v>411</v>
      </c>
      <c r="J3832" s="339"/>
      <c r="K3832" s="339"/>
      <c r="L3832" s="339" t="s">
        <v>409</v>
      </c>
      <c r="M3832" s="339" t="s">
        <v>409</v>
      </c>
      <c r="N3832" s="338" t="s">
        <v>417</v>
      </c>
      <c r="O3832" s="338" t="s">
        <v>409</v>
      </c>
      <c r="P3832" s="338" t="s">
        <v>417</v>
      </c>
    </row>
    <row r="3833" spans="2:16" x14ac:dyDescent="0.25">
      <c r="B3833" s="336" t="s">
        <v>416</v>
      </c>
      <c r="C3833" s="337">
        <v>38974</v>
      </c>
      <c r="D3833" s="338" t="s">
        <v>2608</v>
      </c>
      <c r="E3833" s="336" t="s">
        <v>2444</v>
      </c>
      <c r="F3833" s="338" t="s">
        <v>2607</v>
      </c>
      <c r="G3833" s="338">
        <v>13.9</v>
      </c>
      <c r="H3833" s="338" t="s">
        <v>425</v>
      </c>
      <c r="I3833" s="338" t="s">
        <v>411</v>
      </c>
      <c r="J3833" s="339"/>
      <c r="K3833" s="339"/>
      <c r="L3833" s="339">
        <v>2.23712</v>
      </c>
      <c r="M3833" s="339">
        <v>8.9556000000000004</v>
      </c>
      <c r="N3833" s="338"/>
      <c r="O3833" s="338" t="s">
        <v>487</v>
      </c>
      <c r="P3833" s="338" t="s">
        <v>417</v>
      </c>
    </row>
    <row r="3834" spans="2:16" x14ac:dyDescent="0.25">
      <c r="B3834" s="336" t="s">
        <v>416</v>
      </c>
      <c r="C3834" s="337">
        <v>38974</v>
      </c>
      <c r="D3834" s="338" t="s">
        <v>2606</v>
      </c>
      <c r="E3834" s="336" t="s">
        <v>2012</v>
      </c>
      <c r="F3834" s="338" t="s">
        <v>2605</v>
      </c>
      <c r="G3834" s="338" t="s">
        <v>413</v>
      </c>
      <c r="H3834" s="338" t="s">
        <v>425</v>
      </c>
      <c r="I3834" s="338" t="s">
        <v>411</v>
      </c>
      <c r="J3834" s="339"/>
      <c r="K3834" s="339"/>
      <c r="L3834" s="339"/>
      <c r="M3834" s="339"/>
      <c r="N3834" s="338"/>
      <c r="O3834" s="338" t="s">
        <v>417</v>
      </c>
      <c r="P3834" s="338" t="s">
        <v>410</v>
      </c>
    </row>
    <row r="3835" spans="2:16" x14ac:dyDescent="0.25">
      <c r="B3835" s="336" t="s">
        <v>416</v>
      </c>
      <c r="C3835" s="337">
        <v>38974</v>
      </c>
      <c r="D3835" s="338" t="s">
        <v>2604</v>
      </c>
      <c r="E3835" s="336" t="s">
        <v>1079</v>
      </c>
      <c r="F3835" s="338" t="s">
        <v>2603</v>
      </c>
      <c r="G3835" s="338">
        <v>13.5</v>
      </c>
      <c r="H3835" s="338" t="s">
        <v>425</v>
      </c>
      <c r="I3835" s="338" t="s">
        <v>411</v>
      </c>
      <c r="J3835" s="339"/>
      <c r="K3835" s="339"/>
      <c r="L3835" s="339">
        <v>2.2861199999999999</v>
      </c>
      <c r="M3835" s="339">
        <v>26.651700000000002</v>
      </c>
      <c r="N3835" s="338"/>
      <c r="O3835" s="338" t="s">
        <v>410</v>
      </c>
      <c r="P3835" s="338" t="s">
        <v>417</v>
      </c>
    </row>
    <row r="3836" spans="2:16" x14ac:dyDescent="0.25">
      <c r="B3836" s="336" t="s">
        <v>459</v>
      </c>
      <c r="C3836" s="337">
        <v>38973</v>
      </c>
      <c r="D3836" s="338" t="s">
        <v>2602</v>
      </c>
      <c r="E3836" s="336" t="s">
        <v>2601</v>
      </c>
      <c r="F3836" s="338"/>
      <c r="G3836" s="338">
        <v>36</v>
      </c>
      <c r="H3836" s="338" t="s">
        <v>425</v>
      </c>
      <c r="I3836" s="338" t="s">
        <v>411</v>
      </c>
      <c r="J3836" s="339"/>
      <c r="K3836" s="339"/>
      <c r="L3836" s="339" t="s">
        <v>409</v>
      </c>
      <c r="M3836" s="339" t="s">
        <v>409</v>
      </c>
      <c r="N3836" s="338" t="s">
        <v>410</v>
      </c>
      <c r="O3836" s="338" t="s">
        <v>409</v>
      </c>
      <c r="P3836" s="338"/>
    </row>
    <row r="3837" spans="2:16" x14ac:dyDescent="0.25">
      <c r="B3837" s="336" t="s">
        <v>416</v>
      </c>
      <c r="C3837" s="337">
        <v>38973</v>
      </c>
      <c r="D3837" s="338" t="s">
        <v>2600</v>
      </c>
      <c r="E3837" s="336" t="s">
        <v>475</v>
      </c>
      <c r="F3837" s="338"/>
      <c r="G3837" s="338" t="s">
        <v>413</v>
      </c>
      <c r="H3837" s="338" t="s">
        <v>425</v>
      </c>
      <c r="I3837" s="338" t="s">
        <v>411</v>
      </c>
      <c r="J3837" s="339"/>
      <c r="K3837" s="339"/>
      <c r="L3837" s="339" t="s">
        <v>409</v>
      </c>
      <c r="M3837" s="339" t="s">
        <v>409</v>
      </c>
      <c r="N3837" s="338"/>
      <c r="O3837" s="338" t="s">
        <v>409</v>
      </c>
      <c r="P3837" s="338" t="s">
        <v>417</v>
      </c>
    </row>
    <row r="3838" spans="2:16" x14ac:dyDescent="0.25">
      <c r="B3838" s="336" t="s">
        <v>416</v>
      </c>
      <c r="C3838" s="337">
        <v>38973</v>
      </c>
      <c r="D3838" s="338" t="s">
        <v>2599</v>
      </c>
      <c r="E3838" s="336" t="s">
        <v>2598</v>
      </c>
      <c r="F3838" s="338"/>
      <c r="G3838" s="338">
        <v>157</v>
      </c>
      <c r="H3838" s="338" t="s">
        <v>425</v>
      </c>
      <c r="I3838" s="338" t="s">
        <v>411</v>
      </c>
      <c r="J3838" s="339"/>
      <c r="K3838" s="339"/>
      <c r="L3838" s="339" t="s">
        <v>409</v>
      </c>
      <c r="M3838" s="339" t="s">
        <v>409</v>
      </c>
      <c r="N3838" s="338" t="s">
        <v>417</v>
      </c>
      <c r="O3838" s="338" t="s">
        <v>409</v>
      </c>
      <c r="P3838" s="338" t="s">
        <v>417</v>
      </c>
    </row>
    <row r="3839" spans="2:16" x14ac:dyDescent="0.25">
      <c r="B3839" s="336" t="s">
        <v>416</v>
      </c>
      <c r="C3839" s="337">
        <v>38972</v>
      </c>
      <c r="D3839" s="338" t="s">
        <v>2597</v>
      </c>
      <c r="E3839" s="336" t="s">
        <v>2596</v>
      </c>
      <c r="F3839" s="338" t="s">
        <v>2595</v>
      </c>
      <c r="G3839" s="338">
        <v>67</v>
      </c>
      <c r="H3839" s="338" t="s">
        <v>425</v>
      </c>
      <c r="I3839" s="338" t="s">
        <v>411</v>
      </c>
      <c r="J3839" s="339"/>
      <c r="K3839" s="339"/>
      <c r="L3839" s="339">
        <v>1.7951999999999999</v>
      </c>
      <c r="M3839" s="339">
        <v>12.031599999999999</v>
      </c>
      <c r="N3839" s="338"/>
      <c r="O3839" s="338" t="s">
        <v>417</v>
      </c>
      <c r="P3839" s="338" t="s">
        <v>443</v>
      </c>
    </row>
    <row r="3840" spans="2:16" x14ac:dyDescent="0.25">
      <c r="B3840" s="336" t="s">
        <v>416</v>
      </c>
      <c r="C3840" s="337">
        <v>38972</v>
      </c>
      <c r="D3840" s="338" t="s">
        <v>2594</v>
      </c>
      <c r="E3840" s="336" t="s">
        <v>2593</v>
      </c>
      <c r="F3840" s="338" t="s">
        <v>801</v>
      </c>
      <c r="G3840" s="338">
        <v>19</v>
      </c>
      <c r="H3840" s="338" t="s">
        <v>425</v>
      </c>
      <c r="I3840" s="338" t="s">
        <v>411</v>
      </c>
      <c r="J3840" s="339"/>
      <c r="K3840" s="339"/>
      <c r="L3840" s="339">
        <v>1.69892</v>
      </c>
      <c r="M3840" s="339">
        <v>10.0753</v>
      </c>
      <c r="N3840" s="338"/>
      <c r="O3840" s="338" t="s">
        <v>417</v>
      </c>
      <c r="P3840" s="338" t="s">
        <v>410</v>
      </c>
    </row>
    <row r="3841" spans="2:16" x14ac:dyDescent="0.25">
      <c r="B3841" s="336" t="s">
        <v>416</v>
      </c>
      <c r="C3841" s="337">
        <v>38972</v>
      </c>
      <c r="D3841" s="338" t="s">
        <v>2592</v>
      </c>
      <c r="E3841" s="336" t="s">
        <v>1819</v>
      </c>
      <c r="F3841" s="338" t="s">
        <v>2591</v>
      </c>
      <c r="G3841" s="338" t="s">
        <v>413</v>
      </c>
      <c r="H3841" s="338" t="s">
        <v>412</v>
      </c>
      <c r="I3841" s="338" t="s">
        <v>411</v>
      </c>
      <c r="J3841" s="339"/>
      <c r="K3841" s="339"/>
      <c r="L3841" s="339"/>
      <c r="M3841" s="339"/>
      <c r="N3841" s="338" t="s">
        <v>487</v>
      </c>
      <c r="O3841" s="338" t="s">
        <v>487</v>
      </c>
      <c r="P3841" s="338" t="s">
        <v>417</v>
      </c>
    </row>
    <row r="3842" spans="2:16" x14ac:dyDescent="0.25">
      <c r="B3842" s="336" t="s">
        <v>416</v>
      </c>
      <c r="C3842" s="337">
        <v>38972</v>
      </c>
      <c r="D3842" s="338" t="s">
        <v>2590</v>
      </c>
      <c r="E3842" s="336" t="s">
        <v>2589</v>
      </c>
      <c r="F3842" s="338"/>
      <c r="G3842" s="338" t="s">
        <v>413</v>
      </c>
      <c r="H3842" s="338" t="s">
        <v>412</v>
      </c>
      <c r="I3842" s="338" t="s">
        <v>411</v>
      </c>
      <c r="J3842" s="339"/>
      <c r="K3842" s="339"/>
      <c r="L3842" s="339" t="s">
        <v>409</v>
      </c>
      <c r="M3842" s="339" t="s">
        <v>409</v>
      </c>
      <c r="N3842" s="338" t="s">
        <v>417</v>
      </c>
      <c r="O3842" s="338" t="s">
        <v>409</v>
      </c>
      <c r="P3842" s="338" t="s">
        <v>432</v>
      </c>
    </row>
    <row r="3843" spans="2:16" x14ac:dyDescent="0.25">
      <c r="B3843" s="336" t="s">
        <v>416</v>
      </c>
      <c r="C3843" s="337">
        <v>38971</v>
      </c>
      <c r="D3843" s="338" t="s">
        <v>2588</v>
      </c>
      <c r="E3843" s="336" t="s">
        <v>2265</v>
      </c>
      <c r="F3843" s="338"/>
      <c r="G3843" s="338">
        <v>5.09</v>
      </c>
      <c r="H3843" s="338" t="s">
        <v>429</v>
      </c>
      <c r="I3843" s="338" t="s">
        <v>411</v>
      </c>
      <c r="J3843" s="339"/>
      <c r="K3843" s="339"/>
      <c r="L3843" s="339" t="s">
        <v>409</v>
      </c>
      <c r="M3843" s="339" t="s">
        <v>409</v>
      </c>
      <c r="N3843" s="338" t="s">
        <v>417</v>
      </c>
      <c r="O3843" s="338" t="s">
        <v>409</v>
      </c>
      <c r="P3843" s="338" t="s">
        <v>417</v>
      </c>
    </row>
    <row r="3844" spans="2:16" x14ac:dyDescent="0.25">
      <c r="B3844" s="336" t="s">
        <v>541</v>
      </c>
      <c r="C3844" s="337">
        <v>38968</v>
      </c>
      <c r="D3844" s="338" t="s">
        <v>2587</v>
      </c>
      <c r="E3844" s="336" t="s">
        <v>539</v>
      </c>
      <c r="F3844" s="338" t="s">
        <v>2586</v>
      </c>
      <c r="G3844" s="338" t="s">
        <v>413</v>
      </c>
      <c r="H3844" s="338"/>
      <c r="I3844" s="338" t="s">
        <v>411</v>
      </c>
      <c r="J3844" s="339">
        <v>4.9634900000000002</v>
      </c>
      <c r="K3844" s="339">
        <v>25.106200000000001</v>
      </c>
      <c r="L3844" s="339">
        <v>3.8223400000000001</v>
      </c>
      <c r="M3844" s="339">
        <v>10.3803</v>
      </c>
      <c r="N3844" s="338" t="s">
        <v>417</v>
      </c>
      <c r="O3844" s="338" t="s">
        <v>417</v>
      </c>
      <c r="P3844" s="338" t="s">
        <v>409</v>
      </c>
    </row>
    <row r="3845" spans="2:16" x14ac:dyDescent="0.25">
      <c r="B3845" s="336" t="s">
        <v>416</v>
      </c>
      <c r="C3845" s="337">
        <v>38967</v>
      </c>
      <c r="D3845" s="338" t="s">
        <v>2161</v>
      </c>
      <c r="E3845" s="336" t="s">
        <v>2160</v>
      </c>
      <c r="F3845" s="338"/>
      <c r="G3845" s="338">
        <v>0.5</v>
      </c>
      <c r="H3845" s="338" t="s">
        <v>425</v>
      </c>
      <c r="I3845" s="338" t="s">
        <v>411</v>
      </c>
      <c r="J3845" s="339"/>
      <c r="K3845" s="339"/>
      <c r="L3845" s="339" t="s">
        <v>409</v>
      </c>
      <c r="M3845" s="339" t="s">
        <v>409</v>
      </c>
      <c r="N3845" s="338" t="s">
        <v>432</v>
      </c>
      <c r="O3845" s="338" t="s">
        <v>409</v>
      </c>
      <c r="P3845" s="338" t="s">
        <v>408</v>
      </c>
    </row>
    <row r="3846" spans="2:16" x14ac:dyDescent="0.25">
      <c r="B3846" s="336" t="s">
        <v>416</v>
      </c>
      <c r="C3846" s="337">
        <v>38966</v>
      </c>
      <c r="D3846" s="338" t="s">
        <v>2585</v>
      </c>
      <c r="E3846" s="336" t="s">
        <v>1733</v>
      </c>
      <c r="F3846" s="338"/>
      <c r="G3846" s="338" t="s">
        <v>413</v>
      </c>
      <c r="H3846" s="338" t="s">
        <v>425</v>
      </c>
      <c r="I3846" s="338" t="s">
        <v>411</v>
      </c>
      <c r="J3846" s="339"/>
      <c r="K3846" s="339"/>
      <c r="L3846" s="339" t="s">
        <v>409</v>
      </c>
      <c r="M3846" s="339" t="s">
        <v>409</v>
      </c>
      <c r="N3846" s="338" t="s">
        <v>417</v>
      </c>
      <c r="O3846" s="338" t="s">
        <v>409</v>
      </c>
      <c r="P3846" s="338" t="s">
        <v>443</v>
      </c>
    </row>
    <row r="3847" spans="2:16" x14ac:dyDescent="0.25">
      <c r="B3847" s="336" t="s">
        <v>416</v>
      </c>
      <c r="C3847" s="337">
        <v>38966</v>
      </c>
      <c r="D3847" s="338" t="s">
        <v>2584</v>
      </c>
      <c r="E3847" s="336" t="s">
        <v>2583</v>
      </c>
      <c r="F3847" s="338"/>
      <c r="G3847" s="338" t="s">
        <v>413</v>
      </c>
      <c r="H3847" s="338" t="s">
        <v>412</v>
      </c>
      <c r="I3847" s="338" t="s">
        <v>411</v>
      </c>
      <c r="J3847" s="339"/>
      <c r="K3847" s="339"/>
      <c r="L3847" s="339" t="s">
        <v>409</v>
      </c>
      <c r="M3847" s="339" t="s">
        <v>409</v>
      </c>
      <c r="N3847" s="338" t="s">
        <v>417</v>
      </c>
      <c r="O3847" s="338" t="s">
        <v>409</v>
      </c>
      <c r="P3847" s="338" t="s">
        <v>417</v>
      </c>
    </row>
    <row r="3848" spans="2:16" x14ac:dyDescent="0.25">
      <c r="B3848" s="336" t="s">
        <v>416</v>
      </c>
      <c r="C3848" s="337">
        <v>38965</v>
      </c>
      <c r="D3848" s="338" t="s">
        <v>2582</v>
      </c>
      <c r="E3848" s="336" t="s">
        <v>656</v>
      </c>
      <c r="F3848" s="338"/>
      <c r="G3848" s="338" t="s">
        <v>413</v>
      </c>
      <c r="H3848" s="338" t="s">
        <v>412</v>
      </c>
      <c r="I3848" s="338" t="s">
        <v>411</v>
      </c>
      <c r="J3848" s="339"/>
      <c r="K3848" s="339"/>
      <c r="L3848" s="339" t="s">
        <v>409</v>
      </c>
      <c r="M3848" s="339" t="s">
        <v>409</v>
      </c>
      <c r="N3848" s="338"/>
      <c r="O3848" s="338" t="s">
        <v>409</v>
      </c>
      <c r="P3848" s="338" t="s">
        <v>408</v>
      </c>
    </row>
    <row r="3849" spans="2:16" x14ac:dyDescent="0.25">
      <c r="B3849" s="336" t="s">
        <v>416</v>
      </c>
      <c r="C3849" s="337">
        <v>38965</v>
      </c>
      <c r="D3849" s="338" t="s">
        <v>2581</v>
      </c>
      <c r="E3849" s="336" t="s">
        <v>742</v>
      </c>
      <c r="F3849" s="338"/>
      <c r="G3849" s="338">
        <v>275</v>
      </c>
      <c r="H3849" s="338" t="s">
        <v>425</v>
      </c>
      <c r="I3849" s="338" t="s">
        <v>411</v>
      </c>
      <c r="J3849" s="339"/>
      <c r="K3849" s="339"/>
      <c r="L3849" s="339" t="s">
        <v>409</v>
      </c>
      <c r="M3849" s="339" t="s">
        <v>409</v>
      </c>
      <c r="N3849" s="338" t="s">
        <v>417</v>
      </c>
      <c r="O3849" s="338" t="s">
        <v>409</v>
      </c>
      <c r="P3849" s="338" t="s">
        <v>417</v>
      </c>
    </row>
    <row r="3850" spans="2:16" x14ac:dyDescent="0.25">
      <c r="B3850" s="336" t="s">
        <v>416</v>
      </c>
      <c r="C3850" s="337">
        <v>38961</v>
      </c>
      <c r="D3850" s="338" t="s">
        <v>2580</v>
      </c>
      <c r="E3850" s="336" t="s">
        <v>2579</v>
      </c>
      <c r="F3850" s="338"/>
      <c r="G3850" s="338" t="s">
        <v>413</v>
      </c>
      <c r="H3850" s="338" t="s">
        <v>425</v>
      </c>
      <c r="I3850" s="338" t="s">
        <v>411</v>
      </c>
      <c r="J3850" s="339"/>
      <c r="K3850" s="339"/>
      <c r="L3850" s="339" t="s">
        <v>409</v>
      </c>
      <c r="M3850" s="339" t="s">
        <v>409</v>
      </c>
      <c r="N3850" s="338"/>
      <c r="O3850" s="338" t="s">
        <v>409</v>
      </c>
      <c r="P3850" s="338" t="s">
        <v>417</v>
      </c>
    </row>
    <row r="3851" spans="2:16" x14ac:dyDescent="0.25">
      <c r="B3851" s="336" t="s">
        <v>416</v>
      </c>
      <c r="C3851" s="337">
        <v>38960</v>
      </c>
      <c r="D3851" s="338" t="s">
        <v>2578</v>
      </c>
      <c r="E3851" s="336" t="s">
        <v>463</v>
      </c>
      <c r="F3851" s="338"/>
      <c r="G3851" s="338" t="s">
        <v>413</v>
      </c>
      <c r="H3851" s="338" t="s">
        <v>425</v>
      </c>
      <c r="I3851" s="338" t="s">
        <v>411</v>
      </c>
      <c r="J3851" s="339"/>
      <c r="K3851" s="339"/>
      <c r="L3851" s="339" t="s">
        <v>409</v>
      </c>
      <c r="M3851" s="339" t="s">
        <v>409</v>
      </c>
      <c r="N3851" s="338"/>
      <c r="O3851" s="338" t="s">
        <v>409</v>
      </c>
      <c r="P3851" s="338" t="s">
        <v>417</v>
      </c>
    </row>
    <row r="3852" spans="2:16" x14ac:dyDescent="0.25">
      <c r="B3852" s="336" t="s">
        <v>416</v>
      </c>
      <c r="C3852" s="337">
        <v>38960</v>
      </c>
      <c r="D3852" s="338" t="s">
        <v>2577</v>
      </c>
      <c r="E3852" s="336" t="s">
        <v>831</v>
      </c>
      <c r="F3852" s="338"/>
      <c r="G3852" s="338" t="s">
        <v>413</v>
      </c>
      <c r="H3852" s="338" t="s">
        <v>412</v>
      </c>
      <c r="I3852" s="338" t="s">
        <v>411</v>
      </c>
      <c r="J3852" s="339"/>
      <c r="K3852" s="339"/>
      <c r="L3852" s="339" t="s">
        <v>409</v>
      </c>
      <c r="M3852" s="339" t="s">
        <v>409</v>
      </c>
      <c r="N3852" s="338" t="s">
        <v>885</v>
      </c>
      <c r="O3852" s="338" t="s">
        <v>409</v>
      </c>
      <c r="P3852" s="338" t="s">
        <v>417</v>
      </c>
    </row>
    <row r="3853" spans="2:16" x14ac:dyDescent="0.25">
      <c r="B3853" s="336" t="s">
        <v>416</v>
      </c>
      <c r="C3853" s="337">
        <v>38959</v>
      </c>
      <c r="D3853" s="338" t="s">
        <v>2576</v>
      </c>
      <c r="E3853" s="336" t="s">
        <v>656</v>
      </c>
      <c r="F3853" s="338" t="s">
        <v>2575</v>
      </c>
      <c r="G3853" s="338" t="s">
        <v>413</v>
      </c>
      <c r="H3853" s="338" t="s">
        <v>425</v>
      </c>
      <c r="I3853" s="338" t="s">
        <v>411</v>
      </c>
      <c r="J3853" s="339"/>
      <c r="K3853" s="339"/>
      <c r="L3853" s="339"/>
      <c r="M3853" s="339"/>
      <c r="N3853" s="338"/>
      <c r="O3853" s="338" t="s">
        <v>482</v>
      </c>
      <c r="P3853" s="338" t="s">
        <v>408</v>
      </c>
    </row>
    <row r="3854" spans="2:16" x14ac:dyDescent="0.25">
      <c r="B3854" s="336" t="s">
        <v>416</v>
      </c>
      <c r="C3854" s="337">
        <v>38959</v>
      </c>
      <c r="D3854" s="338" t="s">
        <v>2574</v>
      </c>
      <c r="E3854" s="336" t="s">
        <v>2573</v>
      </c>
      <c r="F3854" s="338"/>
      <c r="G3854" s="338">
        <v>10.23</v>
      </c>
      <c r="H3854" s="338" t="s">
        <v>425</v>
      </c>
      <c r="I3854" s="338" t="s">
        <v>411</v>
      </c>
      <c r="J3854" s="339"/>
      <c r="K3854" s="339"/>
      <c r="L3854" s="339" t="s">
        <v>409</v>
      </c>
      <c r="M3854" s="339" t="s">
        <v>409</v>
      </c>
      <c r="N3854" s="338" t="s">
        <v>417</v>
      </c>
      <c r="O3854" s="338" t="s">
        <v>409</v>
      </c>
      <c r="P3854" s="338" t="s">
        <v>432</v>
      </c>
    </row>
    <row r="3855" spans="2:16" x14ac:dyDescent="0.25">
      <c r="B3855" s="336" t="s">
        <v>416</v>
      </c>
      <c r="C3855" s="337">
        <v>38959</v>
      </c>
      <c r="D3855" s="338" t="s">
        <v>2572</v>
      </c>
      <c r="E3855" s="336" t="s">
        <v>1525</v>
      </c>
      <c r="F3855" s="338" t="s">
        <v>2571</v>
      </c>
      <c r="G3855" s="338" t="s">
        <v>413</v>
      </c>
      <c r="H3855" s="338" t="s">
        <v>425</v>
      </c>
      <c r="I3855" s="338" t="s">
        <v>411</v>
      </c>
      <c r="J3855" s="339"/>
      <c r="K3855" s="339"/>
      <c r="L3855" s="339">
        <v>1.20787</v>
      </c>
      <c r="M3855" s="339">
        <v>8.8263300000000005</v>
      </c>
      <c r="N3855" s="338"/>
      <c r="O3855" s="338" t="s">
        <v>417</v>
      </c>
      <c r="P3855" s="338" t="s">
        <v>443</v>
      </c>
    </row>
    <row r="3856" spans="2:16" x14ac:dyDescent="0.25">
      <c r="B3856" s="336" t="s">
        <v>416</v>
      </c>
      <c r="C3856" s="337">
        <v>38958</v>
      </c>
      <c r="D3856" s="338" t="s">
        <v>2570</v>
      </c>
      <c r="E3856" s="336" t="s">
        <v>1777</v>
      </c>
      <c r="F3856" s="338"/>
      <c r="G3856" s="338">
        <v>8</v>
      </c>
      <c r="H3856" s="338" t="s">
        <v>425</v>
      </c>
      <c r="I3856" s="338" t="s">
        <v>411</v>
      </c>
      <c r="J3856" s="339"/>
      <c r="K3856" s="339"/>
      <c r="L3856" s="339" t="s">
        <v>409</v>
      </c>
      <c r="M3856" s="339" t="s">
        <v>409</v>
      </c>
      <c r="N3856" s="338" t="s">
        <v>417</v>
      </c>
      <c r="O3856" s="338" t="s">
        <v>409</v>
      </c>
      <c r="P3856" s="338" t="s">
        <v>417</v>
      </c>
    </row>
    <row r="3857" spans="2:16" x14ac:dyDescent="0.25">
      <c r="B3857" s="336" t="s">
        <v>416</v>
      </c>
      <c r="C3857" s="337">
        <v>38958</v>
      </c>
      <c r="D3857" s="338" t="s">
        <v>2569</v>
      </c>
      <c r="E3857" s="336" t="s">
        <v>1685</v>
      </c>
      <c r="F3857" s="338"/>
      <c r="G3857" s="338">
        <v>12.4</v>
      </c>
      <c r="H3857" s="338" t="s">
        <v>425</v>
      </c>
      <c r="I3857" s="338" t="s">
        <v>411</v>
      </c>
      <c r="J3857" s="339"/>
      <c r="K3857" s="339"/>
      <c r="L3857" s="339" t="s">
        <v>409</v>
      </c>
      <c r="M3857" s="339" t="s">
        <v>409</v>
      </c>
      <c r="N3857" s="338" t="s">
        <v>417</v>
      </c>
      <c r="O3857" s="338" t="s">
        <v>409</v>
      </c>
      <c r="P3857" s="338" t="s">
        <v>417</v>
      </c>
    </row>
    <row r="3858" spans="2:16" x14ac:dyDescent="0.25">
      <c r="B3858" s="336" t="s">
        <v>416</v>
      </c>
      <c r="C3858" s="337">
        <v>38957</v>
      </c>
      <c r="D3858" s="338" t="s">
        <v>2568</v>
      </c>
      <c r="E3858" s="336" t="s">
        <v>939</v>
      </c>
      <c r="F3858" s="338"/>
      <c r="G3858" s="338" t="s">
        <v>413</v>
      </c>
      <c r="H3858" s="338" t="s">
        <v>425</v>
      </c>
      <c r="I3858" s="338" t="s">
        <v>411</v>
      </c>
      <c r="J3858" s="339"/>
      <c r="K3858" s="339"/>
      <c r="L3858" s="339" t="s">
        <v>409</v>
      </c>
      <c r="M3858" s="339" t="s">
        <v>409</v>
      </c>
      <c r="N3858" s="338" t="s">
        <v>417</v>
      </c>
      <c r="O3858" s="338" t="s">
        <v>409</v>
      </c>
      <c r="P3858" s="338"/>
    </row>
    <row r="3859" spans="2:16" x14ac:dyDescent="0.25">
      <c r="B3859" s="336" t="s">
        <v>416</v>
      </c>
      <c r="C3859" s="337">
        <v>38957</v>
      </c>
      <c r="D3859" s="338" t="s">
        <v>2567</v>
      </c>
      <c r="E3859" s="336" t="s">
        <v>2566</v>
      </c>
      <c r="F3859" s="338" t="s">
        <v>2565</v>
      </c>
      <c r="G3859" s="338" t="s">
        <v>413</v>
      </c>
      <c r="H3859" s="338" t="s">
        <v>425</v>
      </c>
      <c r="I3859" s="338" t="s">
        <v>411</v>
      </c>
      <c r="J3859" s="339"/>
      <c r="K3859" s="339"/>
      <c r="L3859" s="339"/>
      <c r="M3859" s="339"/>
      <c r="N3859" s="338" t="s">
        <v>417</v>
      </c>
      <c r="O3859" s="338" t="s">
        <v>443</v>
      </c>
      <c r="P3859" s="338"/>
    </row>
    <row r="3860" spans="2:16" x14ac:dyDescent="0.25">
      <c r="B3860" s="336" t="s">
        <v>416</v>
      </c>
      <c r="C3860" s="337">
        <v>38957</v>
      </c>
      <c r="D3860" s="338" t="s">
        <v>2564</v>
      </c>
      <c r="E3860" s="336" t="s">
        <v>2563</v>
      </c>
      <c r="F3860" s="338" t="s">
        <v>2562</v>
      </c>
      <c r="G3860" s="338">
        <v>35</v>
      </c>
      <c r="H3860" s="338" t="s">
        <v>425</v>
      </c>
      <c r="I3860" s="338" t="s">
        <v>411</v>
      </c>
      <c r="J3860" s="339"/>
      <c r="K3860" s="339"/>
      <c r="L3860" s="339">
        <v>25.422599999999999</v>
      </c>
      <c r="M3860" s="339"/>
      <c r="N3860" s="338" t="s">
        <v>417</v>
      </c>
      <c r="O3860" s="338" t="s">
        <v>432</v>
      </c>
      <c r="P3860" s="338" t="s">
        <v>432</v>
      </c>
    </row>
    <row r="3861" spans="2:16" x14ac:dyDescent="0.25">
      <c r="B3861" s="336" t="s">
        <v>541</v>
      </c>
      <c r="C3861" s="337">
        <v>38957</v>
      </c>
      <c r="D3861" s="338" t="s">
        <v>2520</v>
      </c>
      <c r="E3861" s="336" t="s">
        <v>539</v>
      </c>
      <c r="F3861" s="338" t="s">
        <v>1482</v>
      </c>
      <c r="G3861" s="338">
        <v>0.55000000000000004</v>
      </c>
      <c r="H3861" s="338"/>
      <c r="I3861" s="338" t="s">
        <v>411</v>
      </c>
      <c r="J3861" s="339"/>
      <c r="K3861" s="339"/>
      <c r="L3861" s="339">
        <v>3.72404</v>
      </c>
      <c r="M3861" s="339"/>
      <c r="N3861" s="338" t="s">
        <v>417</v>
      </c>
      <c r="O3861" s="338" t="s">
        <v>417</v>
      </c>
      <c r="P3861" s="338" t="s">
        <v>409</v>
      </c>
    </row>
    <row r="3862" spans="2:16" x14ac:dyDescent="0.25">
      <c r="B3862" s="336" t="s">
        <v>416</v>
      </c>
      <c r="C3862" s="337">
        <v>38954</v>
      </c>
      <c r="D3862" s="338" t="s">
        <v>2561</v>
      </c>
      <c r="E3862" s="336" t="s">
        <v>2560</v>
      </c>
      <c r="F3862" s="338"/>
      <c r="G3862" s="338">
        <v>11</v>
      </c>
      <c r="H3862" s="338" t="s">
        <v>429</v>
      </c>
      <c r="I3862" s="338" t="s">
        <v>411</v>
      </c>
      <c r="J3862" s="339"/>
      <c r="K3862" s="339"/>
      <c r="L3862" s="339" t="s">
        <v>409</v>
      </c>
      <c r="M3862" s="339" t="s">
        <v>409</v>
      </c>
      <c r="N3862" s="338"/>
      <c r="O3862" s="338" t="s">
        <v>409</v>
      </c>
      <c r="P3862" s="338" t="s">
        <v>432</v>
      </c>
    </row>
    <row r="3863" spans="2:16" x14ac:dyDescent="0.25">
      <c r="B3863" s="336" t="s">
        <v>416</v>
      </c>
      <c r="C3863" s="337">
        <v>38954</v>
      </c>
      <c r="D3863" s="338" t="s">
        <v>2559</v>
      </c>
      <c r="E3863" s="336" t="s">
        <v>2052</v>
      </c>
      <c r="F3863" s="338" t="s">
        <v>1032</v>
      </c>
      <c r="G3863" s="338">
        <v>29.5</v>
      </c>
      <c r="H3863" s="338" t="s">
        <v>425</v>
      </c>
      <c r="I3863" s="338" t="s">
        <v>411</v>
      </c>
      <c r="J3863" s="339"/>
      <c r="K3863" s="339"/>
      <c r="L3863" s="339">
        <v>2.6935500000000001</v>
      </c>
      <c r="M3863" s="339">
        <v>12.8904</v>
      </c>
      <c r="N3863" s="338"/>
      <c r="O3863" s="338" t="s">
        <v>417</v>
      </c>
      <c r="P3863" s="338" t="s">
        <v>443</v>
      </c>
    </row>
    <row r="3864" spans="2:16" x14ac:dyDescent="0.25">
      <c r="B3864" s="336" t="s">
        <v>416</v>
      </c>
      <c r="C3864" s="337">
        <v>38954</v>
      </c>
      <c r="D3864" s="338" t="s">
        <v>2558</v>
      </c>
      <c r="E3864" s="336" t="s">
        <v>2557</v>
      </c>
      <c r="F3864" s="338"/>
      <c r="G3864" s="338">
        <v>33.700000000000003</v>
      </c>
      <c r="H3864" s="338" t="s">
        <v>418</v>
      </c>
      <c r="I3864" s="338" t="s">
        <v>411</v>
      </c>
      <c r="J3864" s="339"/>
      <c r="K3864" s="339"/>
      <c r="L3864" s="339" t="s">
        <v>409</v>
      </c>
      <c r="M3864" s="339" t="s">
        <v>409</v>
      </c>
      <c r="N3864" s="338" t="s">
        <v>417</v>
      </c>
      <c r="O3864" s="338" t="s">
        <v>409</v>
      </c>
      <c r="P3864" s="338" t="s">
        <v>417</v>
      </c>
    </row>
    <row r="3865" spans="2:16" x14ac:dyDescent="0.25">
      <c r="B3865" s="336" t="s">
        <v>416</v>
      </c>
      <c r="C3865" s="337">
        <v>38953</v>
      </c>
      <c r="D3865" s="338" t="s">
        <v>2556</v>
      </c>
      <c r="E3865" s="336" t="s">
        <v>2555</v>
      </c>
      <c r="F3865" s="338"/>
      <c r="G3865" s="338">
        <v>12</v>
      </c>
      <c r="H3865" s="338" t="s">
        <v>429</v>
      </c>
      <c r="I3865" s="338" t="s">
        <v>411</v>
      </c>
      <c r="J3865" s="339"/>
      <c r="K3865" s="339"/>
      <c r="L3865" s="339" t="s">
        <v>409</v>
      </c>
      <c r="M3865" s="339" t="s">
        <v>409</v>
      </c>
      <c r="N3865" s="338" t="s">
        <v>417</v>
      </c>
      <c r="O3865" s="338" t="s">
        <v>409</v>
      </c>
      <c r="P3865" s="338" t="s">
        <v>432</v>
      </c>
    </row>
    <row r="3866" spans="2:16" x14ac:dyDescent="0.25">
      <c r="B3866" s="336" t="s">
        <v>416</v>
      </c>
      <c r="C3866" s="337">
        <v>38953</v>
      </c>
      <c r="D3866" s="338" t="s">
        <v>2554</v>
      </c>
      <c r="E3866" s="336" t="s">
        <v>669</v>
      </c>
      <c r="F3866" s="338" t="s">
        <v>2553</v>
      </c>
      <c r="G3866" s="338" t="s">
        <v>413</v>
      </c>
      <c r="H3866" s="338" t="s">
        <v>425</v>
      </c>
      <c r="I3866" s="338" t="s">
        <v>411</v>
      </c>
      <c r="J3866" s="339"/>
      <c r="K3866" s="339"/>
      <c r="L3866" s="339">
        <v>1.2450300000000001</v>
      </c>
      <c r="M3866" s="339">
        <v>56.237499999999997</v>
      </c>
      <c r="N3866" s="338"/>
      <c r="O3866" s="338" t="s">
        <v>605</v>
      </c>
      <c r="P3866" s="338"/>
    </row>
    <row r="3867" spans="2:16" x14ac:dyDescent="0.25">
      <c r="B3867" s="336" t="s">
        <v>1441</v>
      </c>
      <c r="C3867" s="337">
        <v>38953</v>
      </c>
      <c r="D3867" s="338" t="s">
        <v>2552</v>
      </c>
      <c r="E3867" s="336" t="s">
        <v>718</v>
      </c>
      <c r="F3867" s="338"/>
      <c r="G3867" s="338" t="s">
        <v>413</v>
      </c>
      <c r="H3867" s="338" t="s">
        <v>412</v>
      </c>
      <c r="I3867" s="338" t="s">
        <v>411</v>
      </c>
      <c r="J3867" s="339"/>
      <c r="K3867" s="339"/>
      <c r="L3867" s="339" t="s">
        <v>409</v>
      </c>
      <c r="M3867" s="339" t="s">
        <v>409</v>
      </c>
      <c r="N3867" s="338" t="s">
        <v>417</v>
      </c>
      <c r="O3867" s="338" t="s">
        <v>409</v>
      </c>
      <c r="P3867" s="338" t="s">
        <v>417</v>
      </c>
    </row>
    <row r="3868" spans="2:16" x14ac:dyDescent="0.25">
      <c r="B3868" s="336" t="s">
        <v>416</v>
      </c>
      <c r="C3868" s="337">
        <v>38953</v>
      </c>
      <c r="D3868" s="338" t="s">
        <v>2551</v>
      </c>
      <c r="E3868" s="336" t="s">
        <v>925</v>
      </c>
      <c r="F3868" s="338" t="s">
        <v>2027</v>
      </c>
      <c r="G3868" s="338">
        <v>3403</v>
      </c>
      <c r="H3868" s="338" t="s">
        <v>429</v>
      </c>
      <c r="I3868" s="338" t="s">
        <v>411</v>
      </c>
      <c r="J3868" s="339"/>
      <c r="K3868" s="339"/>
      <c r="L3868" s="339">
        <v>1.2237100000000001</v>
      </c>
      <c r="M3868" s="339">
        <v>10.168799999999999</v>
      </c>
      <c r="N3868" s="338"/>
      <c r="O3868" s="338" t="s">
        <v>417</v>
      </c>
      <c r="P3868" s="338" t="s">
        <v>417</v>
      </c>
    </row>
    <row r="3869" spans="2:16" x14ac:dyDescent="0.25">
      <c r="B3869" s="336" t="s">
        <v>416</v>
      </c>
      <c r="C3869" s="337">
        <v>38953</v>
      </c>
      <c r="D3869" s="338" t="s">
        <v>2550</v>
      </c>
      <c r="E3869" s="336" t="s">
        <v>2549</v>
      </c>
      <c r="F3869" s="338"/>
      <c r="G3869" s="338" t="s">
        <v>413</v>
      </c>
      <c r="H3869" s="338" t="s">
        <v>412</v>
      </c>
      <c r="I3869" s="338" t="s">
        <v>411</v>
      </c>
      <c r="J3869" s="339"/>
      <c r="K3869" s="339"/>
      <c r="L3869" s="339" t="s">
        <v>409</v>
      </c>
      <c r="M3869" s="339" t="s">
        <v>409</v>
      </c>
      <c r="N3869" s="338" t="s">
        <v>417</v>
      </c>
      <c r="O3869" s="338" t="s">
        <v>409</v>
      </c>
      <c r="P3869" s="338" t="s">
        <v>410</v>
      </c>
    </row>
    <row r="3870" spans="2:16" x14ac:dyDescent="0.25">
      <c r="B3870" s="336" t="s">
        <v>416</v>
      </c>
      <c r="C3870" s="337">
        <v>38953</v>
      </c>
      <c r="D3870" s="338" t="s">
        <v>2548</v>
      </c>
      <c r="E3870" s="336" t="s">
        <v>2547</v>
      </c>
      <c r="F3870" s="338"/>
      <c r="G3870" s="338" t="s">
        <v>413</v>
      </c>
      <c r="H3870" s="338" t="s">
        <v>425</v>
      </c>
      <c r="I3870" s="338" t="s">
        <v>411</v>
      </c>
      <c r="J3870" s="339"/>
      <c r="K3870" s="339"/>
      <c r="L3870" s="339" t="s">
        <v>409</v>
      </c>
      <c r="M3870" s="339" t="s">
        <v>409</v>
      </c>
      <c r="N3870" s="338" t="s">
        <v>417</v>
      </c>
      <c r="O3870" s="338" t="s">
        <v>409</v>
      </c>
      <c r="P3870" s="338"/>
    </row>
    <row r="3871" spans="2:16" x14ac:dyDescent="0.25">
      <c r="B3871" s="336" t="s">
        <v>416</v>
      </c>
      <c r="C3871" s="337">
        <v>38953</v>
      </c>
      <c r="D3871" s="338" t="s">
        <v>2546</v>
      </c>
      <c r="E3871" s="336" t="s">
        <v>2545</v>
      </c>
      <c r="F3871" s="338"/>
      <c r="G3871" s="338" t="s">
        <v>413</v>
      </c>
      <c r="H3871" s="338" t="s">
        <v>412</v>
      </c>
      <c r="I3871" s="338" t="s">
        <v>411</v>
      </c>
      <c r="J3871" s="339"/>
      <c r="K3871" s="339"/>
      <c r="L3871" s="339" t="s">
        <v>409</v>
      </c>
      <c r="M3871" s="339" t="s">
        <v>409</v>
      </c>
      <c r="N3871" s="338" t="s">
        <v>417</v>
      </c>
      <c r="O3871" s="338" t="s">
        <v>409</v>
      </c>
      <c r="P3871" s="338" t="s">
        <v>487</v>
      </c>
    </row>
    <row r="3872" spans="2:16" x14ac:dyDescent="0.25">
      <c r="B3872" s="336" t="s">
        <v>416</v>
      </c>
      <c r="C3872" s="337">
        <v>38953</v>
      </c>
      <c r="D3872" s="338" t="s">
        <v>2544</v>
      </c>
      <c r="E3872" s="336" t="s">
        <v>2543</v>
      </c>
      <c r="F3872" s="338" t="s">
        <v>2542</v>
      </c>
      <c r="G3872" s="338" t="s">
        <v>413</v>
      </c>
      <c r="H3872" s="338" t="s">
        <v>425</v>
      </c>
      <c r="I3872" s="338" t="s">
        <v>411</v>
      </c>
      <c r="J3872" s="339"/>
      <c r="K3872" s="339"/>
      <c r="L3872" s="339"/>
      <c r="M3872" s="339"/>
      <c r="N3872" s="338"/>
      <c r="O3872" s="338" t="s">
        <v>417</v>
      </c>
      <c r="P3872" s="338" t="s">
        <v>417</v>
      </c>
    </row>
    <row r="3873" spans="2:16" x14ac:dyDescent="0.25">
      <c r="B3873" s="336" t="s">
        <v>416</v>
      </c>
      <c r="C3873" s="337">
        <v>38953</v>
      </c>
      <c r="D3873" s="338" t="s">
        <v>2541</v>
      </c>
      <c r="E3873" s="336" t="s">
        <v>441</v>
      </c>
      <c r="F3873" s="338" t="s">
        <v>2540</v>
      </c>
      <c r="G3873" s="338" t="s">
        <v>413</v>
      </c>
      <c r="H3873" s="338" t="s">
        <v>425</v>
      </c>
      <c r="I3873" s="338" t="s">
        <v>411</v>
      </c>
      <c r="J3873" s="339"/>
      <c r="K3873" s="339"/>
      <c r="L3873" s="339"/>
      <c r="M3873" s="339"/>
      <c r="N3873" s="338"/>
      <c r="O3873" s="338" t="s">
        <v>408</v>
      </c>
      <c r="P3873" s="338" t="s">
        <v>417</v>
      </c>
    </row>
    <row r="3874" spans="2:16" x14ac:dyDescent="0.25">
      <c r="B3874" s="336" t="s">
        <v>416</v>
      </c>
      <c r="C3874" s="337">
        <v>38953</v>
      </c>
      <c r="D3874" s="338" t="s">
        <v>2539</v>
      </c>
      <c r="E3874" s="336" t="s">
        <v>2173</v>
      </c>
      <c r="F3874" s="338"/>
      <c r="G3874" s="338" t="s">
        <v>413</v>
      </c>
      <c r="H3874" s="338" t="s">
        <v>425</v>
      </c>
      <c r="I3874" s="338" t="s">
        <v>411</v>
      </c>
      <c r="J3874" s="339"/>
      <c r="K3874" s="339"/>
      <c r="L3874" s="339" t="s">
        <v>409</v>
      </c>
      <c r="M3874" s="339" t="s">
        <v>409</v>
      </c>
      <c r="N3874" s="338"/>
      <c r="O3874" s="338" t="s">
        <v>409</v>
      </c>
      <c r="P3874" s="338" t="s">
        <v>443</v>
      </c>
    </row>
    <row r="3875" spans="2:16" x14ac:dyDescent="0.25">
      <c r="B3875" s="336" t="s">
        <v>416</v>
      </c>
      <c r="C3875" s="337">
        <v>38953</v>
      </c>
      <c r="D3875" s="338" t="s">
        <v>2538</v>
      </c>
      <c r="E3875" s="336" t="s">
        <v>2537</v>
      </c>
      <c r="F3875" s="338" t="s">
        <v>2536</v>
      </c>
      <c r="G3875" s="338" t="s">
        <v>413</v>
      </c>
      <c r="H3875" s="338" t="s">
        <v>425</v>
      </c>
      <c r="I3875" s="338" t="s">
        <v>411</v>
      </c>
      <c r="J3875" s="339"/>
      <c r="K3875" s="339"/>
      <c r="L3875" s="339"/>
      <c r="M3875" s="339"/>
      <c r="N3875" s="338" t="s">
        <v>417</v>
      </c>
      <c r="O3875" s="338"/>
      <c r="P3875" s="338" t="s">
        <v>443</v>
      </c>
    </row>
    <row r="3876" spans="2:16" x14ac:dyDescent="0.25">
      <c r="B3876" s="336" t="s">
        <v>416</v>
      </c>
      <c r="C3876" s="337">
        <v>38950</v>
      </c>
      <c r="D3876" s="338" t="s">
        <v>2535</v>
      </c>
      <c r="E3876" s="336" t="s">
        <v>2534</v>
      </c>
      <c r="F3876" s="338" t="s">
        <v>2237</v>
      </c>
      <c r="G3876" s="338" t="s">
        <v>413</v>
      </c>
      <c r="H3876" s="338" t="s">
        <v>425</v>
      </c>
      <c r="I3876" s="338" t="s">
        <v>411</v>
      </c>
      <c r="J3876" s="339"/>
      <c r="K3876" s="339"/>
      <c r="L3876" s="339">
        <v>0.724661</v>
      </c>
      <c r="M3876" s="339">
        <v>9.8471299999999999</v>
      </c>
      <c r="N3876" s="338"/>
      <c r="O3876" s="338" t="s">
        <v>410</v>
      </c>
      <c r="P3876" s="338" t="s">
        <v>443</v>
      </c>
    </row>
    <row r="3877" spans="2:16" x14ac:dyDescent="0.25">
      <c r="B3877" s="336" t="s">
        <v>416</v>
      </c>
      <c r="C3877" s="337">
        <v>38947</v>
      </c>
      <c r="D3877" s="338" t="s">
        <v>2533</v>
      </c>
      <c r="E3877" s="336" t="s">
        <v>2532</v>
      </c>
      <c r="F3877" s="338"/>
      <c r="G3877" s="338">
        <v>572.26</v>
      </c>
      <c r="H3877" s="338" t="s">
        <v>425</v>
      </c>
      <c r="I3877" s="338" t="s">
        <v>411</v>
      </c>
      <c r="J3877" s="339">
        <v>0.81805499999999998</v>
      </c>
      <c r="K3877" s="339">
        <v>12.051500000000001</v>
      </c>
      <c r="L3877" s="339" t="s">
        <v>409</v>
      </c>
      <c r="M3877" s="339" t="s">
        <v>409</v>
      </c>
      <c r="N3877" s="338" t="s">
        <v>417</v>
      </c>
      <c r="O3877" s="338" t="s">
        <v>409</v>
      </c>
      <c r="P3877" s="338" t="s">
        <v>443</v>
      </c>
    </row>
    <row r="3878" spans="2:16" x14ac:dyDescent="0.25">
      <c r="B3878" s="336" t="s">
        <v>416</v>
      </c>
      <c r="C3878" s="337">
        <v>38946</v>
      </c>
      <c r="D3878" s="338" t="s">
        <v>2531</v>
      </c>
      <c r="E3878" s="336" t="s">
        <v>2530</v>
      </c>
      <c r="F3878" s="338"/>
      <c r="G3878" s="338">
        <v>0.73</v>
      </c>
      <c r="H3878" s="338" t="s">
        <v>425</v>
      </c>
      <c r="I3878" s="338" t="s">
        <v>411</v>
      </c>
      <c r="J3878" s="339"/>
      <c r="K3878" s="339"/>
      <c r="L3878" s="339" t="s">
        <v>409</v>
      </c>
      <c r="M3878" s="339" t="s">
        <v>409</v>
      </c>
      <c r="N3878" s="338" t="s">
        <v>417</v>
      </c>
      <c r="O3878" s="338" t="s">
        <v>409</v>
      </c>
      <c r="P3878" s="338" t="s">
        <v>417</v>
      </c>
    </row>
    <row r="3879" spans="2:16" x14ac:dyDescent="0.25">
      <c r="B3879" s="336" t="s">
        <v>416</v>
      </c>
      <c r="C3879" s="337">
        <v>38946</v>
      </c>
      <c r="D3879" s="338" t="s">
        <v>2529</v>
      </c>
      <c r="E3879" s="336" t="s">
        <v>2528</v>
      </c>
      <c r="F3879" s="338"/>
      <c r="G3879" s="338" t="s">
        <v>413</v>
      </c>
      <c r="H3879" s="338" t="s">
        <v>412</v>
      </c>
      <c r="I3879" s="338" t="s">
        <v>411</v>
      </c>
      <c r="J3879" s="339"/>
      <c r="K3879" s="339"/>
      <c r="L3879" s="339" t="s">
        <v>409</v>
      </c>
      <c r="M3879" s="339" t="s">
        <v>409</v>
      </c>
      <c r="N3879" s="338" t="s">
        <v>417</v>
      </c>
      <c r="O3879" s="338" t="s">
        <v>409</v>
      </c>
      <c r="P3879" s="338" t="s">
        <v>417</v>
      </c>
    </row>
    <row r="3880" spans="2:16" x14ac:dyDescent="0.25">
      <c r="B3880" s="336" t="s">
        <v>416</v>
      </c>
      <c r="C3880" s="337">
        <v>38946</v>
      </c>
      <c r="D3880" s="338" t="s">
        <v>2527</v>
      </c>
      <c r="E3880" s="336" t="s">
        <v>2526</v>
      </c>
      <c r="F3880" s="338"/>
      <c r="G3880" s="338">
        <v>2.65</v>
      </c>
      <c r="H3880" s="338" t="s">
        <v>425</v>
      </c>
      <c r="I3880" s="338" t="s">
        <v>411</v>
      </c>
      <c r="J3880" s="339"/>
      <c r="K3880" s="339"/>
      <c r="L3880" s="339" t="s">
        <v>409</v>
      </c>
      <c r="M3880" s="339" t="s">
        <v>409</v>
      </c>
      <c r="N3880" s="338" t="s">
        <v>410</v>
      </c>
      <c r="O3880" s="338" t="s">
        <v>409</v>
      </c>
      <c r="P3880" s="338" t="s">
        <v>410</v>
      </c>
    </row>
    <row r="3881" spans="2:16" x14ac:dyDescent="0.25">
      <c r="B3881" s="336" t="s">
        <v>459</v>
      </c>
      <c r="C3881" s="337">
        <v>38946</v>
      </c>
      <c r="D3881" s="338" t="s">
        <v>2527</v>
      </c>
      <c r="E3881" s="336" t="s">
        <v>2526</v>
      </c>
      <c r="F3881" s="338"/>
      <c r="G3881" s="338">
        <v>0.48</v>
      </c>
      <c r="H3881" s="338" t="s">
        <v>425</v>
      </c>
      <c r="I3881" s="338" t="s">
        <v>411</v>
      </c>
      <c r="J3881" s="339"/>
      <c r="K3881" s="339"/>
      <c r="L3881" s="339" t="s">
        <v>409</v>
      </c>
      <c r="M3881" s="339" t="s">
        <v>409</v>
      </c>
      <c r="N3881" s="338" t="s">
        <v>410</v>
      </c>
      <c r="O3881" s="338" t="s">
        <v>409</v>
      </c>
      <c r="P3881" s="338" t="s">
        <v>410</v>
      </c>
    </row>
    <row r="3882" spans="2:16" x14ac:dyDescent="0.25">
      <c r="B3882" s="336" t="s">
        <v>416</v>
      </c>
      <c r="C3882" s="337">
        <v>38946</v>
      </c>
      <c r="D3882" s="338" t="s">
        <v>2525</v>
      </c>
      <c r="E3882" s="336" t="s">
        <v>2524</v>
      </c>
      <c r="F3882" s="338"/>
      <c r="G3882" s="338" t="s">
        <v>413</v>
      </c>
      <c r="H3882" s="338" t="s">
        <v>412</v>
      </c>
      <c r="I3882" s="338" t="s">
        <v>411</v>
      </c>
      <c r="J3882" s="339"/>
      <c r="K3882" s="339"/>
      <c r="L3882" s="339" t="s">
        <v>409</v>
      </c>
      <c r="M3882" s="339" t="s">
        <v>409</v>
      </c>
      <c r="N3882" s="338" t="s">
        <v>417</v>
      </c>
      <c r="O3882" s="338" t="s">
        <v>409</v>
      </c>
      <c r="P3882" s="338" t="s">
        <v>417</v>
      </c>
    </row>
    <row r="3883" spans="2:16" x14ac:dyDescent="0.25">
      <c r="B3883" s="336" t="s">
        <v>416</v>
      </c>
      <c r="C3883" s="337">
        <v>38946</v>
      </c>
      <c r="D3883" s="338" t="s">
        <v>2523</v>
      </c>
      <c r="E3883" s="336" t="s">
        <v>441</v>
      </c>
      <c r="F3883" s="338" t="s">
        <v>2522</v>
      </c>
      <c r="G3883" s="338" t="s">
        <v>413</v>
      </c>
      <c r="H3883" s="338" t="s">
        <v>425</v>
      </c>
      <c r="I3883" s="338" t="s">
        <v>411</v>
      </c>
      <c r="J3883" s="339"/>
      <c r="K3883" s="339"/>
      <c r="L3883" s="339"/>
      <c r="M3883" s="339"/>
      <c r="N3883" s="338"/>
      <c r="O3883" s="338" t="s">
        <v>408</v>
      </c>
      <c r="P3883" s="338" t="s">
        <v>417</v>
      </c>
    </row>
    <row r="3884" spans="2:16" x14ac:dyDescent="0.25">
      <c r="B3884" s="336" t="s">
        <v>416</v>
      </c>
      <c r="C3884" s="337">
        <v>38945</v>
      </c>
      <c r="D3884" s="338" t="s">
        <v>2521</v>
      </c>
      <c r="E3884" s="336" t="s">
        <v>2520</v>
      </c>
      <c r="F3884" s="338" t="s">
        <v>1482</v>
      </c>
      <c r="G3884" s="338">
        <v>0.3</v>
      </c>
      <c r="H3884" s="338" t="s">
        <v>336</v>
      </c>
      <c r="I3884" s="338" t="s">
        <v>411</v>
      </c>
      <c r="J3884" s="339"/>
      <c r="K3884" s="339"/>
      <c r="L3884" s="339">
        <v>3.72404</v>
      </c>
      <c r="M3884" s="339"/>
      <c r="N3884" s="338" t="s">
        <v>417</v>
      </c>
      <c r="O3884" s="338" t="s">
        <v>417</v>
      </c>
      <c r="P3884" s="338" t="s">
        <v>417</v>
      </c>
    </row>
    <row r="3885" spans="2:16" x14ac:dyDescent="0.25">
      <c r="B3885" s="336" t="s">
        <v>416</v>
      </c>
      <c r="C3885" s="337">
        <v>38945</v>
      </c>
      <c r="D3885" s="338" t="s">
        <v>2519</v>
      </c>
      <c r="E3885" s="336" t="s">
        <v>438</v>
      </c>
      <c r="F3885" s="338"/>
      <c r="G3885" s="338">
        <v>1.4</v>
      </c>
      <c r="H3885" s="338" t="s">
        <v>425</v>
      </c>
      <c r="I3885" s="338" t="s">
        <v>411</v>
      </c>
      <c r="J3885" s="339"/>
      <c r="K3885" s="339"/>
      <c r="L3885" s="339" t="s">
        <v>409</v>
      </c>
      <c r="M3885" s="339" t="s">
        <v>409</v>
      </c>
      <c r="N3885" s="338" t="s">
        <v>417</v>
      </c>
      <c r="O3885" s="338" t="s">
        <v>409</v>
      </c>
      <c r="P3885" s="338" t="s">
        <v>417</v>
      </c>
    </row>
    <row r="3886" spans="2:16" x14ac:dyDescent="0.25">
      <c r="B3886" s="336" t="s">
        <v>416</v>
      </c>
      <c r="C3886" s="337">
        <v>38945</v>
      </c>
      <c r="D3886" s="338" t="s">
        <v>2518</v>
      </c>
      <c r="E3886" s="336" t="s">
        <v>2517</v>
      </c>
      <c r="F3886" s="338" t="s">
        <v>1435</v>
      </c>
      <c r="G3886" s="338">
        <v>140</v>
      </c>
      <c r="H3886" s="338" t="s">
        <v>425</v>
      </c>
      <c r="I3886" s="338" t="s">
        <v>411</v>
      </c>
      <c r="J3886" s="339"/>
      <c r="K3886" s="339"/>
      <c r="L3886" s="339">
        <v>0.63963400000000004</v>
      </c>
      <c r="M3886" s="339"/>
      <c r="N3886" s="338"/>
      <c r="O3886" s="338" t="s">
        <v>410</v>
      </c>
      <c r="P3886" s="338" t="s">
        <v>410</v>
      </c>
    </row>
    <row r="3887" spans="2:16" x14ac:dyDescent="0.25">
      <c r="B3887" s="336" t="s">
        <v>416</v>
      </c>
      <c r="C3887" s="337">
        <v>38944</v>
      </c>
      <c r="D3887" s="338" t="s">
        <v>2516</v>
      </c>
      <c r="E3887" s="336" t="s">
        <v>2178</v>
      </c>
      <c r="F3887" s="338"/>
      <c r="G3887" s="338" t="s">
        <v>413</v>
      </c>
      <c r="H3887" s="338" t="s">
        <v>412</v>
      </c>
      <c r="I3887" s="338" t="s">
        <v>411</v>
      </c>
      <c r="J3887" s="339"/>
      <c r="K3887" s="339"/>
      <c r="L3887" s="339" t="s">
        <v>409</v>
      </c>
      <c r="M3887" s="339" t="s">
        <v>409</v>
      </c>
      <c r="N3887" s="338" t="s">
        <v>417</v>
      </c>
      <c r="O3887" s="338" t="s">
        <v>409</v>
      </c>
      <c r="P3887" s="338" t="s">
        <v>443</v>
      </c>
    </row>
    <row r="3888" spans="2:16" x14ac:dyDescent="0.25">
      <c r="B3888" s="336" t="s">
        <v>416</v>
      </c>
      <c r="C3888" s="337">
        <v>38944</v>
      </c>
      <c r="D3888" s="338" t="s">
        <v>2514</v>
      </c>
      <c r="E3888" s="336" t="s">
        <v>764</v>
      </c>
      <c r="F3888" s="338"/>
      <c r="G3888" s="338" t="s">
        <v>413</v>
      </c>
      <c r="H3888" s="338" t="s">
        <v>425</v>
      </c>
      <c r="I3888" s="338" t="s">
        <v>411</v>
      </c>
      <c r="J3888" s="339"/>
      <c r="K3888" s="339"/>
      <c r="L3888" s="339" t="s">
        <v>409</v>
      </c>
      <c r="M3888" s="339" t="s">
        <v>409</v>
      </c>
      <c r="N3888" s="338" t="s">
        <v>417</v>
      </c>
      <c r="O3888" s="338" t="s">
        <v>409</v>
      </c>
      <c r="P3888" s="338" t="s">
        <v>443</v>
      </c>
    </row>
    <row r="3889" spans="2:16" x14ac:dyDescent="0.25">
      <c r="B3889" s="336" t="s">
        <v>416</v>
      </c>
      <c r="C3889" s="337">
        <v>38944</v>
      </c>
      <c r="D3889" s="338" t="s">
        <v>2515</v>
      </c>
      <c r="E3889" s="336" t="s">
        <v>2514</v>
      </c>
      <c r="F3889" s="338"/>
      <c r="G3889" s="338" t="s">
        <v>413</v>
      </c>
      <c r="H3889" s="338" t="s">
        <v>425</v>
      </c>
      <c r="I3889" s="338" t="s">
        <v>411</v>
      </c>
      <c r="J3889" s="339"/>
      <c r="K3889" s="339"/>
      <c r="L3889" s="339" t="s">
        <v>409</v>
      </c>
      <c r="M3889" s="339" t="s">
        <v>409</v>
      </c>
      <c r="N3889" s="338" t="s">
        <v>417</v>
      </c>
      <c r="O3889" s="338" t="s">
        <v>409</v>
      </c>
      <c r="P3889" s="338" t="s">
        <v>417</v>
      </c>
    </row>
    <row r="3890" spans="2:16" x14ac:dyDescent="0.25">
      <c r="B3890" s="336" t="s">
        <v>416</v>
      </c>
      <c r="C3890" s="337">
        <v>38944</v>
      </c>
      <c r="D3890" s="338" t="s">
        <v>692</v>
      </c>
      <c r="E3890" s="336" t="s">
        <v>2501</v>
      </c>
      <c r="F3890" s="338"/>
      <c r="G3890" s="338" t="s">
        <v>413</v>
      </c>
      <c r="H3890" s="338" t="s">
        <v>425</v>
      </c>
      <c r="I3890" s="338" t="s">
        <v>411</v>
      </c>
      <c r="J3890" s="339"/>
      <c r="K3890" s="339"/>
      <c r="L3890" s="339" t="s">
        <v>409</v>
      </c>
      <c r="M3890" s="339" t="s">
        <v>409</v>
      </c>
      <c r="N3890" s="338"/>
      <c r="O3890" s="338" t="s">
        <v>409</v>
      </c>
      <c r="P3890" s="338" t="s">
        <v>417</v>
      </c>
    </row>
    <row r="3891" spans="2:16" x14ac:dyDescent="0.25">
      <c r="B3891" s="336" t="s">
        <v>416</v>
      </c>
      <c r="C3891" s="337">
        <v>38943</v>
      </c>
      <c r="D3891" s="338" t="s">
        <v>2513</v>
      </c>
      <c r="E3891" s="336" t="s">
        <v>2495</v>
      </c>
      <c r="F3891" s="338" t="s">
        <v>1420</v>
      </c>
      <c r="G3891" s="338" t="s">
        <v>413</v>
      </c>
      <c r="H3891" s="338" t="s">
        <v>412</v>
      </c>
      <c r="I3891" s="338" t="s">
        <v>411</v>
      </c>
      <c r="J3891" s="339"/>
      <c r="K3891" s="339"/>
      <c r="L3891" s="339"/>
      <c r="M3891" s="339"/>
      <c r="N3891" s="338" t="s">
        <v>417</v>
      </c>
      <c r="O3891" s="338" t="s">
        <v>443</v>
      </c>
      <c r="P3891" s="338" t="s">
        <v>443</v>
      </c>
    </row>
    <row r="3892" spans="2:16" x14ac:dyDescent="0.25">
      <c r="B3892" s="336" t="s">
        <v>416</v>
      </c>
      <c r="C3892" s="337">
        <v>38943</v>
      </c>
      <c r="D3892" s="338" t="s">
        <v>2512</v>
      </c>
      <c r="E3892" s="336" t="s">
        <v>2511</v>
      </c>
      <c r="F3892" s="338" t="s">
        <v>2510</v>
      </c>
      <c r="G3892" s="338" t="s">
        <v>413</v>
      </c>
      <c r="H3892" s="338" t="s">
        <v>425</v>
      </c>
      <c r="I3892" s="338" t="s">
        <v>411</v>
      </c>
      <c r="J3892" s="339"/>
      <c r="K3892" s="339"/>
      <c r="L3892" s="339"/>
      <c r="M3892" s="339"/>
      <c r="N3892" s="338"/>
      <c r="O3892" s="338" t="s">
        <v>605</v>
      </c>
      <c r="P3892" s="338" t="s">
        <v>432</v>
      </c>
    </row>
    <row r="3893" spans="2:16" x14ac:dyDescent="0.25">
      <c r="B3893" s="336" t="s">
        <v>416</v>
      </c>
      <c r="C3893" s="337">
        <v>38940</v>
      </c>
      <c r="D3893" s="338" t="s">
        <v>2509</v>
      </c>
      <c r="E3893" s="336" t="s">
        <v>463</v>
      </c>
      <c r="F3893" s="338"/>
      <c r="G3893" s="338" t="s">
        <v>413</v>
      </c>
      <c r="H3893" s="338" t="s">
        <v>425</v>
      </c>
      <c r="I3893" s="338" t="s">
        <v>411</v>
      </c>
      <c r="J3893" s="339"/>
      <c r="K3893" s="339"/>
      <c r="L3893" s="339" t="s">
        <v>409</v>
      </c>
      <c r="M3893" s="339" t="s">
        <v>409</v>
      </c>
      <c r="N3893" s="338"/>
      <c r="O3893" s="338" t="s">
        <v>409</v>
      </c>
      <c r="P3893" s="338" t="s">
        <v>417</v>
      </c>
    </row>
    <row r="3894" spans="2:16" x14ac:dyDescent="0.25">
      <c r="B3894" s="336" t="s">
        <v>416</v>
      </c>
      <c r="C3894" s="337">
        <v>38940</v>
      </c>
      <c r="D3894" s="338" t="s">
        <v>1583</v>
      </c>
      <c r="E3894" s="336" t="s">
        <v>2508</v>
      </c>
      <c r="F3894" s="338"/>
      <c r="G3894" s="338">
        <v>2556.9499999999998</v>
      </c>
      <c r="H3894" s="338" t="s">
        <v>425</v>
      </c>
      <c r="I3894" s="338" t="s">
        <v>411</v>
      </c>
      <c r="J3894" s="339">
        <v>1.51874</v>
      </c>
      <c r="K3894" s="339">
        <v>10.3505</v>
      </c>
      <c r="L3894" s="339" t="s">
        <v>409</v>
      </c>
      <c r="M3894" s="339" t="s">
        <v>409</v>
      </c>
      <c r="N3894" s="338" t="s">
        <v>417</v>
      </c>
      <c r="O3894" s="338" t="s">
        <v>409</v>
      </c>
      <c r="P3894" s="338" t="s">
        <v>443</v>
      </c>
    </row>
    <row r="3895" spans="2:16" x14ac:dyDescent="0.25">
      <c r="B3895" s="336" t="s">
        <v>416</v>
      </c>
      <c r="C3895" s="337">
        <v>38940</v>
      </c>
      <c r="D3895" s="338" t="s">
        <v>2507</v>
      </c>
      <c r="E3895" s="336" t="s">
        <v>1529</v>
      </c>
      <c r="F3895" s="338"/>
      <c r="G3895" s="338">
        <v>35</v>
      </c>
      <c r="H3895" s="338" t="s">
        <v>425</v>
      </c>
      <c r="I3895" s="338" t="s">
        <v>411</v>
      </c>
      <c r="J3895" s="339"/>
      <c r="K3895" s="339"/>
      <c r="L3895" s="339" t="s">
        <v>409</v>
      </c>
      <c r="M3895" s="339" t="s">
        <v>409</v>
      </c>
      <c r="N3895" s="338" t="s">
        <v>417</v>
      </c>
      <c r="O3895" s="338" t="s">
        <v>409</v>
      </c>
      <c r="P3895" s="338" t="s">
        <v>410</v>
      </c>
    </row>
    <row r="3896" spans="2:16" x14ac:dyDescent="0.25">
      <c r="B3896" s="336" t="s">
        <v>416</v>
      </c>
      <c r="C3896" s="337">
        <v>38940</v>
      </c>
      <c r="D3896" s="338" t="s">
        <v>2506</v>
      </c>
      <c r="E3896" s="336" t="s">
        <v>463</v>
      </c>
      <c r="F3896" s="338"/>
      <c r="G3896" s="338" t="s">
        <v>413</v>
      </c>
      <c r="H3896" s="338" t="s">
        <v>425</v>
      </c>
      <c r="I3896" s="338" t="s">
        <v>411</v>
      </c>
      <c r="J3896" s="339"/>
      <c r="K3896" s="339"/>
      <c r="L3896" s="339" t="s">
        <v>409</v>
      </c>
      <c r="M3896" s="339" t="s">
        <v>409</v>
      </c>
      <c r="N3896" s="338"/>
      <c r="O3896" s="338" t="s">
        <v>409</v>
      </c>
      <c r="P3896" s="338" t="s">
        <v>417</v>
      </c>
    </row>
    <row r="3897" spans="2:16" x14ac:dyDescent="0.25">
      <c r="B3897" s="336" t="s">
        <v>542</v>
      </c>
      <c r="C3897" s="337">
        <v>38940</v>
      </c>
      <c r="D3897" s="338" t="s">
        <v>1504</v>
      </c>
      <c r="E3897" s="336" t="s">
        <v>539</v>
      </c>
      <c r="F3897" s="338"/>
      <c r="G3897" s="338">
        <v>517.39</v>
      </c>
      <c r="H3897" s="338"/>
      <c r="I3897" s="338" t="s">
        <v>411</v>
      </c>
      <c r="J3897" s="339">
        <v>2.74518</v>
      </c>
      <c r="K3897" s="339">
        <v>11.296900000000001</v>
      </c>
      <c r="L3897" s="339" t="s">
        <v>409</v>
      </c>
      <c r="M3897" s="339" t="s">
        <v>409</v>
      </c>
      <c r="N3897" s="338" t="s">
        <v>417</v>
      </c>
      <c r="O3897" s="338" t="s">
        <v>409</v>
      </c>
      <c r="P3897" s="338" t="s">
        <v>417</v>
      </c>
    </row>
    <row r="3898" spans="2:16" x14ac:dyDescent="0.25">
      <c r="B3898" s="336" t="s">
        <v>416</v>
      </c>
      <c r="C3898" s="337">
        <v>38939</v>
      </c>
      <c r="D3898" s="338" t="s">
        <v>2505</v>
      </c>
      <c r="E3898" s="336" t="s">
        <v>1530</v>
      </c>
      <c r="F3898" s="338" t="s">
        <v>2504</v>
      </c>
      <c r="G3898" s="338" t="s">
        <v>413</v>
      </c>
      <c r="H3898" s="338" t="s">
        <v>412</v>
      </c>
      <c r="I3898" s="338" t="s">
        <v>411</v>
      </c>
      <c r="J3898" s="339"/>
      <c r="K3898" s="339"/>
      <c r="L3898" s="339"/>
      <c r="M3898" s="339"/>
      <c r="N3898" s="338" t="s">
        <v>417</v>
      </c>
      <c r="O3898" s="338" t="s">
        <v>443</v>
      </c>
      <c r="P3898" s="338" t="s">
        <v>410</v>
      </c>
    </row>
    <row r="3899" spans="2:16" x14ac:dyDescent="0.25">
      <c r="B3899" s="336" t="s">
        <v>416</v>
      </c>
      <c r="C3899" s="337">
        <v>38939</v>
      </c>
      <c r="D3899" s="338" t="s">
        <v>571</v>
      </c>
      <c r="E3899" s="336" t="s">
        <v>468</v>
      </c>
      <c r="F3899" s="338" t="s">
        <v>480</v>
      </c>
      <c r="G3899" s="338">
        <v>359</v>
      </c>
      <c r="H3899" s="338" t="s">
        <v>425</v>
      </c>
      <c r="I3899" s="338" t="s">
        <v>411</v>
      </c>
      <c r="J3899" s="339"/>
      <c r="K3899" s="339"/>
      <c r="L3899" s="339"/>
      <c r="M3899" s="339"/>
      <c r="N3899" s="338" t="s">
        <v>417</v>
      </c>
      <c r="O3899" s="338" t="s">
        <v>443</v>
      </c>
      <c r="P3899" s="338" t="s">
        <v>443</v>
      </c>
    </row>
    <row r="3900" spans="2:16" x14ac:dyDescent="0.25">
      <c r="B3900" s="336" t="s">
        <v>416</v>
      </c>
      <c r="C3900" s="337">
        <v>38939</v>
      </c>
      <c r="D3900" s="338" t="s">
        <v>956</v>
      </c>
      <c r="E3900" s="336" t="s">
        <v>2503</v>
      </c>
      <c r="F3900" s="338" t="s">
        <v>2502</v>
      </c>
      <c r="G3900" s="338">
        <v>33.4</v>
      </c>
      <c r="H3900" s="338" t="s">
        <v>425</v>
      </c>
      <c r="I3900" s="338" t="s">
        <v>411</v>
      </c>
      <c r="J3900" s="339"/>
      <c r="K3900" s="339"/>
      <c r="L3900" s="339"/>
      <c r="M3900" s="339"/>
      <c r="N3900" s="338"/>
      <c r="O3900" s="338" t="s">
        <v>417</v>
      </c>
      <c r="P3900" s="338"/>
    </row>
    <row r="3901" spans="2:16" x14ac:dyDescent="0.25">
      <c r="B3901" s="336" t="s">
        <v>416</v>
      </c>
      <c r="C3901" s="337">
        <v>38939</v>
      </c>
      <c r="D3901" s="338" t="s">
        <v>692</v>
      </c>
      <c r="E3901" s="336" t="s">
        <v>2501</v>
      </c>
      <c r="F3901" s="338"/>
      <c r="G3901" s="338" t="s">
        <v>413</v>
      </c>
      <c r="H3901" s="338" t="s">
        <v>412</v>
      </c>
      <c r="I3901" s="338" t="s">
        <v>411</v>
      </c>
      <c r="J3901" s="339"/>
      <c r="K3901" s="339"/>
      <c r="L3901" s="339" t="s">
        <v>409</v>
      </c>
      <c r="M3901" s="339" t="s">
        <v>409</v>
      </c>
      <c r="N3901" s="338"/>
      <c r="O3901" s="338" t="s">
        <v>409</v>
      </c>
      <c r="P3901" s="338" t="s">
        <v>417</v>
      </c>
    </row>
    <row r="3902" spans="2:16" x14ac:dyDescent="0.25">
      <c r="B3902" s="336" t="s">
        <v>416</v>
      </c>
      <c r="C3902" s="337">
        <v>38938</v>
      </c>
      <c r="D3902" s="338" t="s">
        <v>2319</v>
      </c>
      <c r="E3902" s="336" t="s">
        <v>2500</v>
      </c>
      <c r="F3902" s="338"/>
      <c r="G3902" s="338">
        <v>67.930000000000007</v>
      </c>
      <c r="H3902" s="338" t="s">
        <v>425</v>
      </c>
      <c r="I3902" s="338" t="s">
        <v>411</v>
      </c>
      <c r="J3902" s="339">
        <v>5.0816199999999999E-2</v>
      </c>
      <c r="K3902" s="339"/>
      <c r="L3902" s="339" t="s">
        <v>409</v>
      </c>
      <c r="M3902" s="339" t="s">
        <v>409</v>
      </c>
      <c r="N3902" s="338" t="s">
        <v>417</v>
      </c>
      <c r="O3902" s="338" t="s">
        <v>409</v>
      </c>
      <c r="P3902" s="338" t="s">
        <v>443</v>
      </c>
    </row>
    <row r="3903" spans="2:16" x14ac:dyDescent="0.25">
      <c r="B3903" s="336" t="s">
        <v>416</v>
      </c>
      <c r="C3903" s="337">
        <v>38937</v>
      </c>
      <c r="D3903" s="338" t="s">
        <v>2499</v>
      </c>
      <c r="E3903" s="336" t="s">
        <v>846</v>
      </c>
      <c r="F3903" s="338"/>
      <c r="G3903" s="338">
        <v>1041</v>
      </c>
      <c r="H3903" s="338" t="s">
        <v>429</v>
      </c>
      <c r="I3903" s="338" t="s">
        <v>411</v>
      </c>
      <c r="J3903" s="339"/>
      <c r="K3903" s="339"/>
      <c r="L3903" s="339" t="s">
        <v>409</v>
      </c>
      <c r="M3903" s="339" t="s">
        <v>409</v>
      </c>
      <c r="N3903" s="338" t="s">
        <v>417</v>
      </c>
      <c r="O3903" s="338" t="s">
        <v>409</v>
      </c>
      <c r="P3903" s="338" t="s">
        <v>417</v>
      </c>
    </row>
    <row r="3904" spans="2:16" x14ac:dyDescent="0.25">
      <c r="B3904" s="336" t="s">
        <v>416</v>
      </c>
      <c r="C3904" s="337">
        <v>38936</v>
      </c>
      <c r="D3904" s="338" t="s">
        <v>2498</v>
      </c>
      <c r="E3904" s="336" t="s">
        <v>1225</v>
      </c>
      <c r="F3904" s="338" t="s">
        <v>2497</v>
      </c>
      <c r="G3904" s="338">
        <v>63</v>
      </c>
      <c r="H3904" s="338" t="s">
        <v>425</v>
      </c>
      <c r="I3904" s="338" t="s">
        <v>411</v>
      </c>
      <c r="J3904" s="339"/>
      <c r="K3904" s="339"/>
      <c r="L3904" s="339"/>
      <c r="M3904" s="339"/>
      <c r="N3904" s="338"/>
      <c r="O3904" s="338" t="s">
        <v>417</v>
      </c>
      <c r="P3904" s="338" t="s">
        <v>417</v>
      </c>
    </row>
    <row r="3905" spans="2:16" x14ac:dyDescent="0.25">
      <c r="B3905" s="336" t="s">
        <v>416</v>
      </c>
      <c r="C3905" s="337">
        <v>38932</v>
      </c>
      <c r="D3905" s="338" t="s">
        <v>2496</v>
      </c>
      <c r="E3905" s="336" t="s">
        <v>2495</v>
      </c>
      <c r="F3905" s="338"/>
      <c r="G3905" s="338" t="s">
        <v>413</v>
      </c>
      <c r="H3905" s="338" t="s">
        <v>425</v>
      </c>
      <c r="I3905" s="338" t="s">
        <v>411</v>
      </c>
      <c r="J3905" s="339"/>
      <c r="K3905" s="339"/>
      <c r="L3905" s="339" t="s">
        <v>409</v>
      </c>
      <c r="M3905" s="339" t="s">
        <v>409</v>
      </c>
      <c r="N3905" s="338" t="s">
        <v>417</v>
      </c>
      <c r="O3905" s="338" t="s">
        <v>409</v>
      </c>
      <c r="P3905" s="338" t="s">
        <v>443</v>
      </c>
    </row>
    <row r="3906" spans="2:16" x14ac:dyDescent="0.25">
      <c r="B3906" s="336" t="s">
        <v>416</v>
      </c>
      <c r="C3906" s="337">
        <v>38931</v>
      </c>
      <c r="D3906" s="338" t="s">
        <v>2494</v>
      </c>
      <c r="E3906" s="336" t="s">
        <v>1386</v>
      </c>
      <c r="F3906" s="338"/>
      <c r="G3906" s="338">
        <v>6.9</v>
      </c>
      <c r="H3906" s="338" t="s">
        <v>425</v>
      </c>
      <c r="I3906" s="338" t="s">
        <v>411</v>
      </c>
      <c r="J3906" s="339"/>
      <c r="K3906" s="339"/>
      <c r="L3906" s="339" t="s">
        <v>409</v>
      </c>
      <c r="M3906" s="339" t="s">
        <v>409</v>
      </c>
      <c r="N3906" s="338" t="s">
        <v>417</v>
      </c>
      <c r="O3906" s="338" t="s">
        <v>409</v>
      </c>
      <c r="P3906" s="338" t="s">
        <v>417</v>
      </c>
    </row>
    <row r="3907" spans="2:16" x14ac:dyDescent="0.25">
      <c r="B3907" s="336" t="s">
        <v>416</v>
      </c>
      <c r="C3907" s="337">
        <v>38931</v>
      </c>
      <c r="D3907" s="338" t="s">
        <v>2493</v>
      </c>
      <c r="E3907" s="336" t="s">
        <v>1163</v>
      </c>
      <c r="F3907" s="338" t="s">
        <v>1162</v>
      </c>
      <c r="G3907" s="338">
        <v>285</v>
      </c>
      <c r="H3907" s="338" t="s">
        <v>425</v>
      </c>
      <c r="I3907" s="338" t="s">
        <v>411</v>
      </c>
      <c r="J3907" s="339"/>
      <c r="K3907" s="339"/>
      <c r="L3907" s="339">
        <v>0.86355599999999999</v>
      </c>
      <c r="M3907" s="339">
        <v>11.223699999999999</v>
      </c>
      <c r="N3907" s="338" t="s">
        <v>417</v>
      </c>
      <c r="O3907" s="338" t="s">
        <v>417</v>
      </c>
      <c r="P3907" s="338" t="s">
        <v>417</v>
      </c>
    </row>
    <row r="3908" spans="2:16" x14ac:dyDescent="0.25">
      <c r="B3908" s="336" t="s">
        <v>416</v>
      </c>
      <c r="C3908" s="337">
        <v>38931</v>
      </c>
      <c r="D3908" s="338" t="s">
        <v>2492</v>
      </c>
      <c r="E3908" s="336" t="s">
        <v>2491</v>
      </c>
      <c r="F3908" s="338" t="s">
        <v>2490</v>
      </c>
      <c r="G3908" s="338" t="s">
        <v>413</v>
      </c>
      <c r="H3908" s="338" t="s">
        <v>412</v>
      </c>
      <c r="I3908" s="338" t="s">
        <v>411</v>
      </c>
      <c r="J3908" s="339"/>
      <c r="K3908" s="339"/>
      <c r="L3908" s="339"/>
      <c r="M3908" s="339"/>
      <c r="N3908" s="338" t="s">
        <v>417</v>
      </c>
      <c r="O3908" s="338" t="s">
        <v>543</v>
      </c>
      <c r="P3908" s="338" t="s">
        <v>443</v>
      </c>
    </row>
    <row r="3909" spans="2:16" x14ac:dyDescent="0.25">
      <c r="B3909" s="336" t="s">
        <v>416</v>
      </c>
      <c r="C3909" s="337">
        <v>38931</v>
      </c>
      <c r="D3909" s="338" t="s">
        <v>2489</v>
      </c>
      <c r="E3909" s="336" t="s">
        <v>1956</v>
      </c>
      <c r="F3909" s="338"/>
      <c r="G3909" s="338" t="s">
        <v>413</v>
      </c>
      <c r="H3909" s="338" t="s">
        <v>425</v>
      </c>
      <c r="I3909" s="338" t="s">
        <v>411</v>
      </c>
      <c r="J3909" s="339"/>
      <c r="K3909" s="339"/>
      <c r="L3909" s="339" t="s">
        <v>409</v>
      </c>
      <c r="M3909" s="339" t="s">
        <v>409</v>
      </c>
      <c r="N3909" s="338"/>
      <c r="O3909" s="338" t="s">
        <v>409</v>
      </c>
      <c r="P3909" s="338" t="s">
        <v>432</v>
      </c>
    </row>
    <row r="3910" spans="2:16" x14ac:dyDescent="0.25">
      <c r="B3910" s="336" t="s">
        <v>416</v>
      </c>
      <c r="C3910" s="337">
        <v>38930</v>
      </c>
      <c r="D3910" s="338" t="s">
        <v>2488</v>
      </c>
      <c r="E3910" s="336" t="s">
        <v>2487</v>
      </c>
      <c r="F3910" s="338"/>
      <c r="G3910" s="338" t="s">
        <v>413</v>
      </c>
      <c r="H3910" s="338" t="s">
        <v>412</v>
      </c>
      <c r="I3910" s="338" t="s">
        <v>411</v>
      </c>
      <c r="J3910" s="339"/>
      <c r="K3910" s="339"/>
      <c r="L3910" s="339" t="s">
        <v>409</v>
      </c>
      <c r="M3910" s="339" t="s">
        <v>409</v>
      </c>
      <c r="N3910" s="338"/>
      <c r="O3910" s="338" t="s">
        <v>409</v>
      </c>
      <c r="P3910" s="338" t="s">
        <v>443</v>
      </c>
    </row>
    <row r="3911" spans="2:16" x14ac:dyDescent="0.25">
      <c r="B3911" s="336" t="s">
        <v>1441</v>
      </c>
      <c r="C3911" s="337">
        <v>38930</v>
      </c>
      <c r="D3911" s="338" t="s">
        <v>2486</v>
      </c>
      <c r="E3911" s="336" t="s">
        <v>2319</v>
      </c>
      <c r="F3911" s="338"/>
      <c r="G3911" s="338" t="s">
        <v>413</v>
      </c>
      <c r="H3911" s="338" t="s">
        <v>412</v>
      </c>
      <c r="I3911" s="338" t="s">
        <v>411</v>
      </c>
      <c r="J3911" s="339"/>
      <c r="K3911" s="339"/>
      <c r="L3911" s="339" t="s">
        <v>409</v>
      </c>
      <c r="M3911" s="339" t="s">
        <v>409</v>
      </c>
      <c r="N3911" s="338" t="s">
        <v>487</v>
      </c>
      <c r="O3911" s="338" t="s">
        <v>409</v>
      </c>
      <c r="P3911" s="338" t="s">
        <v>417</v>
      </c>
    </row>
    <row r="3912" spans="2:16" x14ac:dyDescent="0.25">
      <c r="B3912" s="336" t="s">
        <v>416</v>
      </c>
      <c r="C3912" s="337">
        <v>38930</v>
      </c>
      <c r="D3912" s="338" t="s">
        <v>2485</v>
      </c>
      <c r="E3912" s="336" t="s">
        <v>1200</v>
      </c>
      <c r="F3912" s="338"/>
      <c r="G3912" s="338" t="s">
        <v>413</v>
      </c>
      <c r="H3912" s="338" t="s">
        <v>412</v>
      </c>
      <c r="I3912" s="338" t="s">
        <v>411</v>
      </c>
      <c r="J3912" s="339"/>
      <c r="K3912" s="339"/>
      <c r="L3912" s="339" t="s">
        <v>409</v>
      </c>
      <c r="M3912" s="339" t="s">
        <v>409</v>
      </c>
      <c r="N3912" s="338" t="s">
        <v>410</v>
      </c>
      <c r="O3912" s="338" t="s">
        <v>409</v>
      </c>
      <c r="P3912" s="338" t="s">
        <v>410</v>
      </c>
    </row>
    <row r="3913" spans="2:16" x14ac:dyDescent="0.25">
      <c r="B3913" s="336" t="s">
        <v>416</v>
      </c>
      <c r="C3913" s="337">
        <v>38929</v>
      </c>
      <c r="D3913" s="338" t="s">
        <v>956</v>
      </c>
      <c r="E3913" s="336" t="s">
        <v>2484</v>
      </c>
      <c r="F3913" s="338" t="s">
        <v>2483</v>
      </c>
      <c r="G3913" s="338">
        <v>6.09</v>
      </c>
      <c r="H3913" s="338" t="s">
        <v>425</v>
      </c>
      <c r="I3913" s="338" t="s">
        <v>411</v>
      </c>
      <c r="J3913" s="339"/>
      <c r="K3913" s="339"/>
      <c r="L3913" s="339"/>
      <c r="M3913" s="339"/>
      <c r="N3913" s="338"/>
      <c r="O3913" s="338" t="s">
        <v>443</v>
      </c>
      <c r="P3913" s="338" t="s">
        <v>417</v>
      </c>
    </row>
    <row r="3914" spans="2:16" x14ac:dyDescent="0.25">
      <c r="B3914" s="336" t="s">
        <v>416</v>
      </c>
      <c r="C3914" s="337">
        <v>38929</v>
      </c>
      <c r="D3914" s="338" t="s">
        <v>2482</v>
      </c>
      <c r="E3914" s="336" t="s">
        <v>1060</v>
      </c>
      <c r="F3914" s="338"/>
      <c r="G3914" s="338" t="s">
        <v>413</v>
      </c>
      <c r="H3914" s="338" t="s">
        <v>425</v>
      </c>
      <c r="I3914" s="338" t="s">
        <v>411</v>
      </c>
      <c r="J3914" s="339"/>
      <c r="K3914" s="339"/>
      <c r="L3914" s="339" t="s">
        <v>409</v>
      </c>
      <c r="M3914" s="339" t="s">
        <v>409</v>
      </c>
      <c r="N3914" s="338" t="s">
        <v>417</v>
      </c>
      <c r="O3914" s="338" t="s">
        <v>409</v>
      </c>
      <c r="P3914" s="338" t="s">
        <v>443</v>
      </c>
    </row>
    <row r="3915" spans="2:16" x14ac:dyDescent="0.25">
      <c r="B3915" s="336" t="s">
        <v>459</v>
      </c>
      <c r="C3915" s="337">
        <v>38929</v>
      </c>
      <c r="D3915" s="338" t="s">
        <v>2257</v>
      </c>
      <c r="E3915" s="336" t="s">
        <v>2481</v>
      </c>
      <c r="F3915" s="338"/>
      <c r="G3915" s="338">
        <v>31</v>
      </c>
      <c r="H3915" s="338" t="s">
        <v>425</v>
      </c>
      <c r="I3915" s="338" t="s">
        <v>411</v>
      </c>
      <c r="J3915" s="339"/>
      <c r="K3915" s="339"/>
      <c r="L3915" s="339" t="s">
        <v>409</v>
      </c>
      <c r="M3915" s="339" t="s">
        <v>409</v>
      </c>
      <c r="N3915" s="338" t="s">
        <v>417</v>
      </c>
      <c r="O3915" s="338" t="s">
        <v>409</v>
      </c>
      <c r="P3915" s="338"/>
    </row>
    <row r="3916" spans="2:16" x14ac:dyDescent="0.25">
      <c r="B3916" s="336" t="s">
        <v>416</v>
      </c>
      <c r="C3916" s="337">
        <v>38929</v>
      </c>
      <c r="D3916" s="338" t="s">
        <v>495</v>
      </c>
      <c r="E3916" s="336" t="s">
        <v>2311</v>
      </c>
      <c r="F3916" s="338" t="s">
        <v>494</v>
      </c>
      <c r="G3916" s="338" t="s">
        <v>413</v>
      </c>
      <c r="H3916" s="338" t="s">
        <v>336</v>
      </c>
      <c r="I3916" s="338" t="s">
        <v>411</v>
      </c>
      <c r="J3916" s="339"/>
      <c r="K3916" s="339"/>
      <c r="L3916" s="339"/>
      <c r="M3916" s="339"/>
      <c r="N3916" s="338" t="s">
        <v>417</v>
      </c>
      <c r="O3916" s="338" t="s">
        <v>443</v>
      </c>
      <c r="P3916" s="338" t="s">
        <v>443</v>
      </c>
    </row>
    <row r="3917" spans="2:16" x14ac:dyDescent="0.25">
      <c r="B3917" s="336" t="s">
        <v>416</v>
      </c>
      <c r="C3917" s="337">
        <v>38926</v>
      </c>
      <c r="D3917" s="338" t="s">
        <v>2480</v>
      </c>
      <c r="E3917" s="336" t="s">
        <v>2479</v>
      </c>
      <c r="F3917" s="338" t="s">
        <v>624</v>
      </c>
      <c r="G3917" s="338" t="s">
        <v>413</v>
      </c>
      <c r="H3917" s="338" t="s">
        <v>412</v>
      </c>
      <c r="I3917" s="338" t="s">
        <v>411</v>
      </c>
      <c r="J3917" s="339"/>
      <c r="K3917" s="339"/>
      <c r="L3917" s="339"/>
      <c r="M3917" s="339"/>
      <c r="N3917" s="338" t="s">
        <v>410</v>
      </c>
      <c r="O3917" s="338" t="s">
        <v>417</v>
      </c>
      <c r="P3917" s="338" t="s">
        <v>417</v>
      </c>
    </row>
    <row r="3918" spans="2:16" x14ac:dyDescent="0.25">
      <c r="B3918" s="336" t="s">
        <v>416</v>
      </c>
      <c r="C3918" s="337">
        <v>38926</v>
      </c>
      <c r="D3918" s="338" t="s">
        <v>2478</v>
      </c>
      <c r="E3918" s="336" t="s">
        <v>2477</v>
      </c>
      <c r="F3918" s="338" t="s">
        <v>980</v>
      </c>
      <c r="G3918" s="338" t="s">
        <v>413</v>
      </c>
      <c r="H3918" s="338" t="s">
        <v>425</v>
      </c>
      <c r="I3918" s="338" t="s">
        <v>411</v>
      </c>
      <c r="J3918" s="339"/>
      <c r="K3918" s="339"/>
      <c r="L3918" s="339">
        <v>0.87109899999999996</v>
      </c>
      <c r="M3918" s="339">
        <v>6.4264900000000003</v>
      </c>
      <c r="N3918" s="338"/>
      <c r="O3918" s="338" t="s">
        <v>417</v>
      </c>
      <c r="P3918" s="338" t="s">
        <v>443</v>
      </c>
    </row>
    <row r="3919" spans="2:16" x14ac:dyDescent="0.25">
      <c r="B3919" s="336" t="s">
        <v>416</v>
      </c>
      <c r="C3919" s="337">
        <v>38926</v>
      </c>
      <c r="D3919" s="338" t="s">
        <v>2476</v>
      </c>
      <c r="E3919" s="336" t="s">
        <v>1724</v>
      </c>
      <c r="F3919" s="338" t="s">
        <v>2475</v>
      </c>
      <c r="G3919" s="338">
        <v>2.9</v>
      </c>
      <c r="H3919" s="338" t="s">
        <v>425</v>
      </c>
      <c r="I3919" s="338" t="s">
        <v>411</v>
      </c>
      <c r="J3919" s="339"/>
      <c r="K3919" s="339"/>
      <c r="L3919" s="339"/>
      <c r="M3919" s="339"/>
      <c r="N3919" s="338"/>
      <c r="O3919" s="338" t="s">
        <v>417</v>
      </c>
      <c r="P3919" s="338" t="s">
        <v>417</v>
      </c>
    </row>
    <row r="3920" spans="2:16" x14ac:dyDescent="0.25">
      <c r="B3920" s="336" t="s">
        <v>416</v>
      </c>
      <c r="C3920" s="337">
        <v>38926</v>
      </c>
      <c r="D3920" s="338" t="s">
        <v>2474</v>
      </c>
      <c r="E3920" s="336" t="s">
        <v>2473</v>
      </c>
      <c r="F3920" s="338" t="s">
        <v>2472</v>
      </c>
      <c r="G3920" s="338">
        <v>73.72</v>
      </c>
      <c r="H3920" s="338" t="s">
        <v>336</v>
      </c>
      <c r="I3920" s="338" t="s">
        <v>411</v>
      </c>
      <c r="J3920" s="339"/>
      <c r="K3920" s="339"/>
      <c r="L3920" s="339"/>
      <c r="M3920" s="339"/>
      <c r="N3920" s="338"/>
      <c r="O3920" s="338" t="s">
        <v>2471</v>
      </c>
      <c r="P3920" s="338" t="s">
        <v>408</v>
      </c>
    </row>
    <row r="3921" spans="2:16" x14ac:dyDescent="0.25">
      <c r="B3921" s="336" t="s">
        <v>541</v>
      </c>
      <c r="C3921" s="337">
        <v>38925</v>
      </c>
      <c r="D3921" s="338" t="s">
        <v>2470</v>
      </c>
      <c r="E3921" s="336" t="s">
        <v>539</v>
      </c>
      <c r="F3921" s="338" t="s">
        <v>1855</v>
      </c>
      <c r="G3921" s="338">
        <v>4114.21</v>
      </c>
      <c r="H3921" s="338"/>
      <c r="I3921" s="338" t="s">
        <v>411</v>
      </c>
      <c r="J3921" s="339">
        <v>2.9995699999999998</v>
      </c>
      <c r="K3921" s="339">
        <v>12.199199999999999</v>
      </c>
      <c r="L3921" s="339">
        <v>1.1261000000000001</v>
      </c>
      <c r="M3921" s="339">
        <v>8.29068</v>
      </c>
      <c r="N3921" s="338" t="s">
        <v>417</v>
      </c>
      <c r="O3921" s="338" t="s">
        <v>417</v>
      </c>
      <c r="P3921" s="338" t="s">
        <v>409</v>
      </c>
    </row>
    <row r="3922" spans="2:16" x14ac:dyDescent="0.25">
      <c r="B3922" s="336" t="s">
        <v>416</v>
      </c>
      <c r="C3922" s="337">
        <v>38925</v>
      </c>
      <c r="D3922" s="338" t="s">
        <v>2469</v>
      </c>
      <c r="E3922" s="336" t="s">
        <v>672</v>
      </c>
      <c r="F3922" s="338"/>
      <c r="G3922" s="338">
        <v>2.38</v>
      </c>
      <c r="H3922" s="338" t="s">
        <v>425</v>
      </c>
      <c r="I3922" s="338" t="s">
        <v>411</v>
      </c>
      <c r="J3922" s="339"/>
      <c r="K3922" s="339"/>
      <c r="L3922" s="339" t="s">
        <v>409</v>
      </c>
      <c r="M3922" s="339" t="s">
        <v>409</v>
      </c>
      <c r="N3922" s="338" t="s">
        <v>417</v>
      </c>
      <c r="O3922" s="338" t="s">
        <v>409</v>
      </c>
      <c r="P3922" s="338" t="s">
        <v>417</v>
      </c>
    </row>
    <row r="3923" spans="2:16" x14ac:dyDescent="0.25">
      <c r="B3923" s="336" t="s">
        <v>416</v>
      </c>
      <c r="C3923" s="337">
        <v>38924</v>
      </c>
      <c r="D3923" s="338" t="s">
        <v>2468</v>
      </c>
      <c r="E3923" s="336" t="s">
        <v>2467</v>
      </c>
      <c r="F3923" s="338" t="s">
        <v>2466</v>
      </c>
      <c r="G3923" s="338">
        <v>55</v>
      </c>
      <c r="H3923" s="338" t="s">
        <v>425</v>
      </c>
      <c r="I3923" s="338" t="s">
        <v>411</v>
      </c>
      <c r="J3923" s="339"/>
      <c r="K3923" s="339"/>
      <c r="L3923" s="339"/>
      <c r="M3923" s="339"/>
      <c r="N3923" s="338" t="s">
        <v>417</v>
      </c>
      <c r="O3923" s="338" t="s">
        <v>417</v>
      </c>
      <c r="P3923" s="338" t="s">
        <v>417</v>
      </c>
    </row>
    <row r="3924" spans="2:16" x14ac:dyDescent="0.25">
      <c r="B3924" s="336" t="s">
        <v>416</v>
      </c>
      <c r="C3924" s="337">
        <v>38924</v>
      </c>
      <c r="D3924" s="338" t="s">
        <v>2465</v>
      </c>
      <c r="E3924" s="336" t="s">
        <v>1712</v>
      </c>
      <c r="F3924" s="338"/>
      <c r="G3924" s="338">
        <v>14</v>
      </c>
      <c r="H3924" s="338" t="s">
        <v>425</v>
      </c>
      <c r="I3924" s="338" t="s">
        <v>411</v>
      </c>
      <c r="J3924" s="339"/>
      <c r="K3924" s="339"/>
      <c r="L3924" s="339" t="s">
        <v>409</v>
      </c>
      <c r="M3924" s="339" t="s">
        <v>409</v>
      </c>
      <c r="N3924" s="338" t="s">
        <v>417</v>
      </c>
      <c r="O3924" s="338" t="s">
        <v>409</v>
      </c>
      <c r="P3924" s="338" t="s">
        <v>417</v>
      </c>
    </row>
    <row r="3925" spans="2:16" x14ac:dyDescent="0.25">
      <c r="B3925" s="336" t="s">
        <v>416</v>
      </c>
      <c r="C3925" s="337">
        <v>38923</v>
      </c>
      <c r="D3925" s="338" t="s">
        <v>2464</v>
      </c>
      <c r="E3925" s="336" t="s">
        <v>2463</v>
      </c>
      <c r="F3925" s="338"/>
      <c r="G3925" s="338">
        <v>838.45</v>
      </c>
      <c r="H3925" s="338" t="s">
        <v>425</v>
      </c>
      <c r="I3925" s="338" t="s">
        <v>411</v>
      </c>
      <c r="J3925" s="339">
        <v>0.71660900000000005</v>
      </c>
      <c r="K3925" s="339">
        <v>7.3150199999999996</v>
      </c>
      <c r="L3925" s="339" t="s">
        <v>409</v>
      </c>
      <c r="M3925" s="339" t="s">
        <v>409</v>
      </c>
      <c r="N3925" s="338" t="s">
        <v>417</v>
      </c>
      <c r="O3925" s="338" t="s">
        <v>409</v>
      </c>
      <c r="P3925" s="338" t="s">
        <v>443</v>
      </c>
    </row>
    <row r="3926" spans="2:16" x14ac:dyDescent="0.25">
      <c r="B3926" s="336" t="s">
        <v>416</v>
      </c>
      <c r="C3926" s="337">
        <v>38922</v>
      </c>
      <c r="D3926" s="338" t="s">
        <v>2462</v>
      </c>
      <c r="E3926" s="336" t="s">
        <v>608</v>
      </c>
      <c r="F3926" s="338"/>
      <c r="G3926" s="338" t="s">
        <v>413</v>
      </c>
      <c r="H3926" s="338" t="s">
        <v>412</v>
      </c>
      <c r="I3926" s="338" t="s">
        <v>411</v>
      </c>
      <c r="J3926" s="339"/>
      <c r="K3926" s="339"/>
      <c r="L3926" s="339" t="s">
        <v>409</v>
      </c>
      <c r="M3926" s="339" t="s">
        <v>409</v>
      </c>
      <c r="N3926" s="338" t="s">
        <v>417</v>
      </c>
      <c r="O3926" s="338" t="s">
        <v>409</v>
      </c>
      <c r="P3926" s="338" t="s">
        <v>487</v>
      </c>
    </row>
    <row r="3927" spans="2:16" x14ac:dyDescent="0.25">
      <c r="B3927" s="336" t="s">
        <v>416</v>
      </c>
      <c r="C3927" s="337">
        <v>38922</v>
      </c>
      <c r="D3927" s="338" t="s">
        <v>2461</v>
      </c>
      <c r="E3927" s="336" t="s">
        <v>1479</v>
      </c>
      <c r="F3927" s="338"/>
      <c r="G3927" s="338">
        <v>18.399999999999999</v>
      </c>
      <c r="H3927" s="338" t="s">
        <v>425</v>
      </c>
      <c r="I3927" s="338" t="s">
        <v>411</v>
      </c>
      <c r="J3927" s="339"/>
      <c r="K3927" s="339"/>
      <c r="L3927" s="339" t="s">
        <v>409</v>
      </c>
      <c r="M3927" s="339" t="s">
        <v>409</v>
      </c>
      <c r="N3927" s="338"/>
      <c r="O3927" s="338" t="s">
        <v>409</v>
      </c>
      <c r="P3927" s="338" t="s">
        <v>417</v>
      </c>
    </row>
    <row r="3928" spans="2:16" x14ac:dyDescent="0.25">
      <c r="B3928" s="336" t="s">
        <v>416</v>
      </c>
      <c r="C3928" s="337">
        <v>38922</v>
      </c>
      <c r="D3928" s="338" t="s">
        <v>2460</v>
      </c>
      <c r="E3928" s="336" t="s">
        <v>514</v>
      </c>
      <c r="F3928" s="338" t="s">
        <v>2459</v>
      </c>
      <c r="G3928" s="338" t="s">
        <v>413</v>
      </c>
      <c r="H3928" s="338" t="s">
        <v>425</v>
      </c>
      <c r="I3928" s="338" t="s">
        <v>411</v>
      </c>
      <c r="J3928" s="339"/>
      <c r="K3928" s="339"/>
      <c r="L3928" s="339"/>
      <c r="M3928" s="339"/>
      <c r="N3928" s="338"/>
      <c r="O3928" s="338" t="s">
        <v>417</v>
      </c>
      <c r="P3928" s="338"/>
    </row>
    <row r="3929" spans="2:16" x14ac:dyDescent="0.25">
      <c r="B3929" s="336" t="s">
        <v>416</v>
      </c>
      <c r="C3929" s="337">
        <v>38922</v>
      </c>
      <c r="D3929" s="338" t="s">
        <v>2458</v>
      </c>
      <c r="E3929" s="336" t="s">
        <v>737</v>
      </c>
      <c r="F3929" s="338" t="s">
        <v>444</v>
      </c>
      <c r="G3929" s="338">
        <v>10.7</v>
      </c>
      <c r="H3929" s="338" t="s">
        <v>425</v>
      </c>
      <c r="I3929" s="338" t="s">
        <v>411</v>
      </c>
      <c r="J3929" s="339"/>
      <c r="K3929" s="339"/>
      <c r="L3929" s="339"/>
      <c r="M3929" s="339"/>
      <c r="N3929" s="338"/>
      <c r="O3929" s="338" t="s">
        <v>417</v>
      </c>
      <c r="P3929" s="338"/>
    </row>
    <row r="3930" spans="2:16" x14ac:dyDescent="0.25">
      <c r="B3930" s="336" t="s">
        <v>416</v>
      </c>
      <c r="C3930" s="337">
        <v>38919</v>
      </c>
      <c r="D3930" s="338" t="s">
        <v>2457</v>
      </c>
      <c r="E3930" s="336" t="s">
        <v>2456</v>
      </c>
      <c r="F3930" s="338"/>
      <c r="G3930" s="338" t="s">
        <v>413</v>
      </c>
      <c r="H3930" s="338" t="s">
        <v>412</v>
      </c>
      <c r="I3930" s="338" t="s">
        <v>411</v>
      </c>
      <c r="J3930" s="339"/>
      <c r="K3930" s="339"/>
      <c r="L3930" s="339" t="s">
        <v>409</v>
      </c>
      <c r="M3930" s="339" t="s">
        <v>409</v>
      </c>
      <c r="N3930" s="338"/>
      <c r="O3930" s="338" t="s">
        <v>409</v>
      </c>
      <c r="P3930" s="338" t="s">
        <v>417</v>
      </c>
    </row>
    <row r="3931" spans="2:16" x14ac:dyDescent="0.25">
      <c r="B3931" s="336" t="s">
        <v>416</v>
      </c>
      <c r="C3931" s="337">
        <v>38918</v>
      </c>
      <c r="D3931" s="338" t="s">
        <v>2455</v>
      </c>
      <c r="E3931" s="336" t="s">
        <v>2452</v>
      </c>
      <c r="F3931" s="338"/>
      <c r="G3931" s="338" t="s">
        <v>413</v>
      </c>
      <c r="H3931" s="338" t="s">
        <v>412</v>
      </c>
      <c r="I3931" s="338" t="s">
        <v>411</v>
      </c>
      <c r="J3931" s="339"/>
      <c r="K3931" s="339"/>
      <c r="L3931" s="339" t="s">
        <v>409</v>
      </c>
      <c r="M3931" s="339" t="s">
        <v>409</v>
      </c>
      <c r="N3931" s="338" t="s">
        <v>417</v>
      </c>
      <c r="O3931" s="338" t="s">
        <v>409</v>
      </c>
      <c r="P3931" s="338" t="s">
        <v>417</v>
      </c>
    </row>
    <row r="3932" spans="2:16" x14ac:dyDescent="0.25">
      <c r="B3932" s="336" t="s">
        <v>416</v>
      </c>
      <c r="C3932" s="337">
        <v>38918</v>
      </c>
      <c r="D3932" s="338" t="s">
        <v>2454</v>
      </c>
      <c r="E3932" s="336" t="s">
        <v>2452</v>
      </c>
      <c r="F3932" s="338"/>
      <c r="G3932" s="338" t="s">
        <v>413</v>
      </c>
      <c r="H3932" s="338" t="s">
        <v>425</v>
      </c>
      <c r="I3932" s="338" t="s">
        <v>411</v>
      </c>
      <c r="J3932" s="339"/>
      <c r="K3932" s="339"/>
      <c r="L3932" s="339" t="s">
        <v>409</v>
      </c>
      <c r="M3932" s="339" t="s">
        <v>409</v>
      </c>
      <c r="N3932" s="338"/>
      <c r="O3932" s="338" t="s">
        <v>409</v>
      </c>
      <c r="P3932" s="338" t="s">
        <v>417</v>
      </c>
    </row>
    <row r="3933" spans="2:16" x14ac:dyDescent="0.25">
      <c r="B3933" s="336" t="s">
        <v>416</v>
      </c>
      <c r="C3933" s="337">
        <v>38918</v>
      </c>
      <c r="D3933" s="338" t="s">
        <v>2453</v>
      </c>
      <c r="E3933" s="336" t="s">
        <v>2452</v>
      </c>
      <c r="F3933" s="338"/>
      <c r="G3933" s="338">
        <v>2.7</v>
      </c>
      <c r="H3933" s="338" t="s">
        <v>425</v>
      </c>
      <c r="I3933" s="338" t="s">
        <v>411</v>
      </c>
      <c r="J3933" s="339"/>
      <c r="K3933" s="339"/>
      <c r="L3933" s="339" t="s">
        <v>409</v>
      </c>
      <c r="M3933" s="339" t="s">
        <v>409</v>
      </c>
      <c r="N3933" s="338"/>
      <c r="O3933" s="338" t="s">
        <v>409</v>
      </c>
      <c r="P3933" s="338" t="s">
        <v>417</v>
      </c>
    </row>
    <row r="3934" spans="2:16" x14ac:dyDescent="0.25">
      <c r="B3934" s="336" t="s">
        <v>416</v>
      </c>
      <c r="C3934" s="337">
        <v>38918</v>
      </c>
      <c r="D3934" s="338" t="s">
        <v>2451</v>
      </c>
      <c r="E3934" s="336" t="s">
        <v>1859</v>
      </c>
      <c r="F3934" s="338"/>
      <c r="G3934" s="338">
        <v>100</v>
      </c>
      <c r="H3934" s="338" t="s">
        <v>425</v>
      </c>
      <c r="I3934" s="338" t="s">
        <v>411</v>
      </c>
      <c r="J3934" s="339"/>
      <c r="K3934" s="339"/>
      <c r="L3934" s="339" t="s">
        <v>409</v>
      </c>
      <c r="M3934" s="339" t="s">
        <v>409</v>
      </c>
      <c r="N3934" s="338" t="s">
        <v>417</v>
      </c>
      <c r="O3934" s="338" t="s">
        <v>409</v>
      </c>
      <c r="P3934" s="338" t="s">
        <v>443</v>
      </c>
    </row>
    <row r="3935" spans="2:16" x14ac:dyDescent="0.25">
      <c r="B3935" s="336" t="s">
        <v>416</v>
      </c>
      <c r="C3935" s="337">
        <v>38918</v>
      </c>
      <c r="D3935" s="338" t="s">
        <v>2450</v>
      </c>
      <c r="E3935" s="336" t="s">
        <v>2449</v>
      </c>
      <c r="F3935" s="338" t="s">
        <v>2448</v>
      </c>
      <c r="G3935" s="338">
        <v>350</v>
      </c>
      <c r="H3935" s="338" t="s">
        <v>425</v>
      </c>
      <c r="I3935" s="338" t="s">
        <v>411</v>
      </c>
      <c r="J3935" s="339"/>
      <c r="K3935" s="339"/>
      <c r="L3935" s="339"/>
      <c r="M3935" s="339"/>
      <c r="N3935" s="338"/>
      <c r="O3935" s="338" t="s">
        <v>417</v>
      </c>
      <c r="P3935" s="338" t="s">
        <v>443</v>
      </c>
    </row>
    <row r="3936" spans="2:16" x14ac:dyDescent="0.25">
      <c r="B3936" s="336" t="s">
        <v>416</v>
      </c>
      <c r="C3936" s="337">
        <v>38918</v>
      </c>
      <c r="D3936" s="338" t="s">
        <v>2447</v>
      </c>
      <c r="E3936" s="336" t="s">
        <v>2349</v>
      </c>
      <c r="F3936" s="338" t="s">
        <v>2446</v>
      </c>
      <c r="G3936" s="338">
        <v>287</v>
      </c>
      <c r="H3936" s="338" t="s">
        <v>425</v>
      </c>
      <c r="I3936" s="338" t="s">
        <v>411</v>
      </c>
      <c r="J3936" s="339">
        <v>3.5544800000000001E-2</v>
      </c>
      <c r="K3936" s="339">
        <v>1.9680899999999999</v>
      </c>
      <c r="L3936" s="339">
        <v>2.4577200000000001</v>
      </c>
      <c r="M3936" s="339">
        <v>10.583600000000001</v>
      </c>
      <c r="N3936" s="338" t="s">
        <v>605</v>
      </c>
      <c r="O3936" s="338" t="s">
        <v>432</v>
      </c>
      <c r="P3936" s="338" t="s">
        <v>605</v>
      </c>
    </row>
    <row r="3937" spans="2:16" x14ac:dyDescent="0.25">
      <c r="B3937" s="336" t="s">
        <v>416</v>
      </c>
      <c r="C3937" s="337">
        <v>38918</v>
      </c>
      <c r="D3937" s="338" t="s">
        <v>2445</v>
      </c>
      <c r="E3937" s="336" t="s">
        <v>2444</v>
      </c>
      <c r="F3937" s="338" t="s">
        <v>980</v>
      </c>
      <c r="G3937" s="338" t="s">
        <v>413</v>
      </c>
      <c r="H3937" s="338" t="s">
        <v>425</v>
      </c>
      <c r="I3937" s="338" t="s">
        <v>411</v>
      </c>
      <c r="J3937" s="339"/>
      <c r="K3937" s="339"/>
      <c r="L3937" s="339">
        <v>0.87109899999999996</v>
      </c>
      <c r="M3937" s="339">
        <v>6.4264900000000003</v>
      </c>
      <c r="N3937" s="338"/>
      <c r="O3937" s="338" t="s">
        <v>417</v>
      </c>
      <c r="P3937" s="338" t="s">
        <v>417</v>
      </c>
    </row>
    <row r="3938" spans="2:16" x14ac:dyDescent="0.25">
      <c r="B3938" s="336" t="s">
        <v>416</v>
      </c>
      <c r="C3938" s="337">
        <v>38918</v>
      </c>
      <c r="D3938" s="338" t="s">
        <v>2443</v>
      </c>
      <c r="E3938" s="336" t="s">
        <v>1532</v>
      </c>
      <c r="F3938" s="338"/>
      <c r="G3938" s="338" t="s">
        <v>413</v>
      </c>
      <c r="H3938" s="338" t="s">
        <v>412</v>
      </c>
      <c r="I3938" s="338" t="s">
        <v>411</v>
      </c>
      <c r="J3938" s="339"/>
      <c r="K3938" s="339"/>
      <c r="L3938" s="339" t="s">
        <v>409</v>
      </c>
      <c r="M3938" s="339" t="s">
        <v>409</v>
      </c>
      <c r="N3938" s="338" t="s">
        <v>605</v>
      </c>
      <c r="O3938" s="338" t="s">
        <v>409</v>
      </c>
      <c r="P3938" s="338" t="s">
        <v>417</v>
      </c>
    </row>
    <row r="3939" spans="2:16" x14ac:dyDescent="0.25">
      <c r="B3939" s="336" t="s">
        <v>416</v>
      </c>
      <c r="C3939" s="337">
        <v>38918</v>
      </c>
      <c r="D3939" s="338" t="s">
        <v>2442</v>
      </c>
      <c r="E3939" s="336" t="s">
        <v>797</v>
      </c>
      <c r="F3939" s="338"/>
      <c r="G3939" s="338" t="s">
        <v>413</v>
      </c>
      <c r="H3939" s="338" t="s">
        <v>412</v>
      </c>
      <c r="I3939" s="338" t="s">
        <v>411</v>
      </c>
      <c r="J3939" s="339"/>
      <c r="K3939" s="339"/>
      <c r="L3939" s="339" t="s">
        <v>409</v>
      </c>
      <c r="M3939" s="339" t="s">
        <v>409</v>
      </c>
      <c r="N3939" s="338" t="s">
        <v>417</v>
      </c>
      <c r="O3939" s="338" t="s">
        <v>409</v>
      </c>
      <c r="P3939" s="338" t="s">
        <v>417</v>
      </c>
    </row>
    <row r="3940" spans="2:16" x14ac:dyDescent="0.25">
      <c r="B3940" s="336" t="s">
        <v>416</v>
      </c>
      <c r="C3940" s="337">
        <v>38918</v>
      </c>
      <c r="D3940" s="338" t="s">
        <v>2441</v>
      </c>
      <c r="E3940" s="336" t="s">
        <v>2440</v>
      </c>
      <c r="F3940" s="338" t="s">
        <v>2259</v>
      </c>
      <c r="G3940" s="338">
        <v>18.32</v>
      </c>
      <c r="H3940" s="338" t="s">
        <v>425</v>
      </c>
      <c r="I3940" s="338" t="s">
        <v>411</v>
      </c>
      <c r="J3940" s="339">
        <v>1.4461599999999999</v>
      </c>
      <c r="K3940" s="339">
        <v>9.0732199999999992</v>
      </c>
      <c r="L3940" s="339">
        <v>0.22204599999999999</v>
      </c>
      <c r="M3940" s="339">
        <v>7.0773000000000001</v>
      </c>
      <c r="N3940" s="338" t="s">
        <v>417</v>
      </c>
      <c r="O3940" s="338" t="s">
        <v>432</v>
      </c>
      <c r="P3940" s="338" t="s">
        <v>417</v>
      </c>
    </row>
    <row r="3941" spans="2:16" x14ac:dyDescent="0.25">
      <c r="B3941" s="336" t="s">
        <v>416</v>
      </c>
      <c r="C3941" s="337">
        <v>38917</v>
      </c>
      <c r="D3941" s="338" t="s">
        <v>2439</v>
      </c>
      <c r="E3941" s="336" t="s">
        <v>2438</v>
      </c>
      <c r="F3941" s="338"/>
      <c r="G3941" s="338">
        <v>121.13</v>
      </c>
      <c r="H3941" s="338" t="s">
        <v>425</v>
      </c>
      <c r="I3941" s="338" t="s">
        <v>411</v>
      </c>
      <c r="J3941" s="339">
        <v>0.72142099999999998</v>
      </c>
      <c r="K3941" s="339">
        <v>10.138999999999999</v>
      </c>
      <c r="L3941" s="339" t="s">
        <v>409</v>
      </c>
      <c r="M3941" s="339" t="s">
        <v>409</v>
      </c>
      <c r="N3941" s="338" t="s">
        <v>417</v>
      </c>
      <c r="O3941" s="338" t="s">
        <v>409</v>
      </c>
      <c r="P3941" s="338" t="s">
        <v>443</v>
      </c>
    </row>
    <row r="3942" spans="2:16" x14ac:dyDescent="0.25">
      <c r="B3942" s="336" t="s">
        <v>416</v>
      </c>
      <c r="C3942" s="337">
        <v>38917</v>
      </c>
      <c r="D3942" s="338" t="s">
        <v>2437</v>
      </c>
      <c r="E3942" s="336" t="s">
        <v>1420</v>
      </c>
      <c r="F3942" s="338"/>
      <c r="G3942" s="338" t="s">
        <v>413</v>
      </c>
      <c r="H3942" s="338" t="s">
        <v>412</v>
      </c>
      <c r="I3942" s="338" t="s">
        <v>411</v>
      </c>
      <c r="J3942" s="339"/>
      <c r="K3942" s="339"/>
      <c r="L3942" s="339" t="s">
        <v>409</v>
      </c>
      <c r="M3942" s="339" t="s">
        <v>409</v>
      </c>
      <c r="N3942" s="338" t="s">
        <v>410</v>
      </c>
      <c r="O3942" s="338" t="s">
        <v>409</v>
      </c>
      <c r="P3942" s="338" t="s">
        <v>443</v>
      </c>
    </row>
    <row r="3943" spans="2:16" x14ac:dyDescent="0.25">
      <c r="B3943" s="336" t="s">
        <v>416</v>
      </c>
      <c r="C3943" s="337">
        <v>38917</v>
      </c>
      <c r="D3943" s="338" t="s">
        <v>2436</v>
      </c>
      <c r="E3943" s="336" t="s">
        <v>2435</v>
      </c>
      <c r="F3943" s="338"/>
      <c r="G3943" s="338" t="s">
        <v>413</v>
      </c>
      <c r="H3943" s="338" t="s">
        <v>412</v>
      </c>
      <c r="I3943" s="338" t="s">
        <v>411</v>
      </c>
      <c r="J3943" s="339"/>
      <c r="K3943" s="339"/>
      <c r="L3943" s="339" t="s">
        <v>409</v>
      </c>
      <c r="M3943" s="339" t="s">
        <v>409</v>
      </c>
      <c r="N3943" s="338" t="s">
        <v>417</v>
      </c>
      <c r="O3943" s="338" t="s">
        <v>409</v>
      </c>
      <c r="P3943" s="338" t="s">
        <v>417</v>
      </c>
    </row>
    <row r="3944" spans="2:16" x14ac:dyDescent="0.25">
      <c r="B3944" s="336" t="s">
        <v>416</v>
      </c>
      <c r="C3944" s="337">
        <v>38917</v>
      </c>
      <c r="D3944" s="338" t="s">
        <v>2434</v>
      </c>
      <c r="E3944" s="336" t="s">
        <v>1071</v>
      </c>
      <c r="F3944" s="338" t="s">
        <v>980</v>
      </c>
      <c r="G3944" s="338" t="s">
        <v>413</v>
      </c>
      <c r="H3944" s="338" t="s">
        <v>425</v>
      </c>
      <c r="I3944" s="338" t="s">
        <v>411</v>
      </c>
      <c r="J3944" s="339"/>
      <c r="K3944" s="339"/>
      <c r="L3944" s="339">
        <v>0.87109899999999996</v>
      </c>
      <c r="M3944" s="339">
        <v>6.4264900000000003</v>
      </c>
      <c r="N3944" s="338"/>
      <c r="O3944" s="338" t="s">
        <v>417</v>
      </c>
      <c r="P3944" s="338" t="s">
        <v>443</v>
      </c>
    </row>
    <row r="3945" spans="2:16" x14ac:dyDescent="0.25">
      <c r="B3945" s="336" t="s">
        <v>416</v>
      </c>
      <c r="C3945" s="337">
        <v>38917</v>
      </c>
      <c r="D3945" s="338" t="s">
        <v>2433</v>
      </c>
      <c r="E3945" s="336" t="s">
        <v>2432</v>
      </c>
      <c r="F3945" s="338"/>
      <c r="G3945" s="338" t="s">
        <v>413</v>
      </c>
      <c r="H3945" s="338" t="s">
        <v>425</v>
      </c>
      <c r="I3945" s="338" t="s">
        <v>411</v>
      </c>
      <c r="J3945" s="339"/>
      <c r="K3945" s="339"/>
      <c r="L3945" s="339" t="s">
        <v>409</v>
      </c>
      <c r="M3945" s="339" t="s">
        <v>409</v>
      </c>
      <c r="N3945" s="338"/>
      <c r="O3945" s="338" t="s">
        <v>409</v>
      </c>
      <c r="P3945" s="338" t="s">
        <v>543</v>
      </c>
    </row>
    <row r="3946" spans="2:16" x14ac:dyDescent="0.25">
      <c r="B3946" s="336" t="s">
        <v>416</v>
      </c>
      <c r="C3946" s="337">
        <v>38916</v>
      </c>
      <c r="D3946" s="338" t="s">
        <v>2431</v>
      </c>
      <c r="E3946" s="336" t="s">
        <v>2430</v>
      </c>
      <c r="F3946" s="338"/>
      <c r="G3946" s="338">
        <v>24</v>
      </c>
      <c r="H3946" s="338" t="s">
        <v>425</v>
      </c>
      <c r="I3946" s="338" t="s">
        <v>411</v>
      </c>
      <c r="J3946" s="339"/>
      <c r="K3946" s="339"/>
      <c r="L3946" s="339" t="s">
        <v>409</v>
      </c>
      <c r="M3946" s="339" t="s">
        <v>409</v>
      </c>
      <c r="N3946" s="338" t="s">
        <v>417</v>
      </c>
      <c r="O3946" s="338" t="s">
        <v>409</v>
      </c>
      <c r="P3946" s="338" t="s">
        <v>443</v>
      </c>
    </row>
    <row r="3947" spans="2:16" x14ac:dyDescent="0.25">
      <c r="B3947" s="336" t="s">
        <v>416</v>
      </c>
      <c r="C3947" s="337">
        <v>38915</v>
      </c>
      <c r="D3947" s="338" t="s">
        <v>2429</v>
      </c>
      <c r="E3947" s="336" t="s">
        <v>2428</v>
      </c>
      <c r="F3947" s="338"/>
      <c r="G3947" s="338" t="s">
        <v>413</v>
      </c>
      <c r="H3947" s="338" t="s">
        <v>412</v>
      </c>
      <c r="I3947" s="338" t="s">
        <v>411</v>
      </c>
      <c r="J3947" s="339"/>
      <c r="K3947" s="339"/>
      <c r="L3947" s="339" t="s">
        <v>409</v>
      </c>
      <c r="M3947" s="339" t="s">
        <v>409</v>
      </c>
      <c r="N3947" s="338" t="s">
        <v>417</v>
      </c>
      <c r="O3947" s="338" t="s">
        <v>409</v>
      </c>
      <c r="P3947" s="338" t="s">
        <v>417</v>
      </c>
    </row>
    <row r="3948" spans="2:16" x14ac:dyDescent="0.25">
      <c r="B3948" s="336" t="s">
        <v>416</v>
      </c>
      <c r="C3948" s="337">
        <v>38915</v>
      </c>
      <c r="D3948" s="338" t="s">
        <v>2427</v>
      </c>
      <c r="E3948" s="336" t="s">
        <v>514</v>
      </c>
      <c r="F3948" s="338" t="s">
        <v>436</v>
      </c>
      <c r="G3948" s="338" t="s">
        <v>413</v>
      </c>
      <c r="H3948" s="338" t="s">
        <v>425</v>
      </c>
      <c r="I3948" s="338" t="s">
        <v>411</v>
      </c>
      <c r="J3948" s="339"/>
      <c r="K3948" s="339"/>
      <c r="L3948" s="339">
        <v>2.4805899999999999</v>
      </c>
      <c r="M3948" s="339">
        <v>12.783200000000001</v>
      </c>
      <c r="N3948" s="338"/>
      <c r="O3948" s="338" t="s">
        <v>417</v>
      </c>
      <c r="P3948" s="338"/>
    </row>
    <row r="3949" spans="2:16" x14ac:dyDescent="0.25">
      <c r="B3949" s="336" t="s">
        <v>416</v>
      </c>
      <c r="C3949" s="337">
        <v>38915</v>
      </c>
      <c r="D3949" s="338" t="s">
        <v>2426</v>
      </c>
      <c r="E3949" s="336" t="s">
        <v>2425</v>
      </c>
      <c r="F3949" s="338"/>
      <c r="G3949" s="338">
        <v>13.12</v>
      </c>
      <c r="H3949" s="338" t="s">
        <v>336</v>
      </c>
      <c r="I3949" s="338" t="s">
        <v>411</v>
      </c>
      <c r="J3949" s="339">
        <v>0.46976099999999998</v>
      </c>
      <c r="K3949" s="339"/>
      <c r="L3949" s="339" t="s">
        <v>409</v>
      </c>
      <c r="M3949" s="339" t="s">
        <v>409</v>
      </c>
      <c r="N3949" s="338" t="s">
        <v>410</v>
      </c>
      <c r="O3949" s="338" t="s">
        <v>409</v>
      </c>
      <c r="P3949" s="338" t="s">
        <v>417</v>
      </c>
    </row>
    <row r="3950" spans="2:16" x14ac:dyDescent="0.25">
      <c r="B3950" s="336" t="s">
        <v>416</v>
      </c>
      <c r="C3950" s="337">
        <v>38912</v>
      </c>
      <c r="D3950" s="338" t="s">
        <v>2424</v>
      </c>
      <c r="E3950" s="336" t="s">
        <v>825</v>
      </c>
      <c r="F3950" s="338" t="s">
        <v>2423</v>
      </c>
      <c r="G3950" s="338" t="s">
        <v>413</v>
      </c>
      <c r="H3950" s="338" t="s">
        <v>425</v>
      </c>
      <c r="I3950" s="338" t="s">
        <v>411</v>
      </c>
      <c r="J3950" s="339"/>
      <c r="K3950" s="339"/>
      <c r="L3950" s="339"/>
      <c r="M3950" s="339"/>
      <c r="N3950" s="338"/>
      <c r="O3950" s="338" t="s">
        <v>410</v>
      </c>
      <c r="P3950" s="338" t="s">
        <v>417</v>
      </c>
    </row>
    <row r="3951" spans="2:16" x14ac:dyDescent="0.25">
      <c r="B3951" s="336" t="s">
        <v>416</v>
      </c>
      <c r="C3951" s="337">
        <v>38912</v>
      </c>
      <c r="D3951" s="338" t="s">
        <v>2422</v>
      </c>
      <c r="E3951" s="336" t="s">
        <v>2421</v>
      </c>
      <c r="F3951" s="338"/>
      <c r="G3951" s="338">
        <v>1793.7</v>
      </c>
      <c r="H3951" s="338" t="s">
        <v>425</v>
      </c>
      <c r="I3951" s="338" t="s">
        <v>411</v>
      </c>
      <c r="J3951" s="339">
        <v>0.82948900000000003</v>
      </c>
      <c r="K3951" s="339">
        <v>8.4618099999999998</v>
      </c>
      <c r="L3951" s="339" t="s">
        <v>409</v>
      </c>
      <c r="M3951" s="339" t="s">
        <v>409</v>
      </c>
      <c r="N3951" s="338" t="s">
        <v>417</v>
      </c>
      <c r="O3951" s="338" t="s">
        <v>409</v>
      </c>
      <c r="P3951" s="338"/>
    </row>
    <row r="3952" spans="2:16" x14ac:dyDescent="0.25">
      <c r="B3952" s="336" t="s">
        <v>416</v>
      </c>
      <c r="C3952" s="337">
        <v>38911</v>
      </c>
      <c r="D3952" s="338" t="s">
        <v>2420</v>
      </c>
      <c r="E3952" s="336" t="s">
        <v>2237</v>
      </c>
      <c r="F3952" s="338"/>
      <c r="G3952" s="338" t="s">
        <v>413</v>
      </c>
      <c r="H3952" s="338" t="s">
        <v>412</v>
      </c>
      <c r="I3952" s="338" t="s">
        <v>411</v>
      </c>
      <c r="J3952" s="339"/>
      <c r="K3952" s="339"/>
      <c r="L3952" s="339" t="s">
        <v>409</v>
      </c>
      <c r="M3952" s="339" t="s">
        <v>409</v>
      </c>
      <c r="N3952" s="338" t="s">
        <v>417</v>
      </c>
      <c r="O3952" s="338" t="s">
        <v>409</v>
      </c>
      <c r="P3952" s="338" t="s">
        <v>410</v>
      </c>
    </row>
    <row r="3953" spans="2:16" x14ac:dyDescent="0.25">
      <c r="B3953" s="336" t="s">
        <v>416</v>
      </c>
      <c r="C3953" s="337">
        <v>38911</v>
      </c>
      <c r="D3953" s="338" t="s">
        <v>2419</v>
      </c>
      <c r="E3953" s="336" t="s">
        <v>2418</v>
      </c>
      <c r="F3953" s="338"/>
      <c r="G3953" s="338" t="s">
        <v>413</v>
      </c>
      <c r="H3953" s="338" t="s">
        <v>412</v>
      </c>
      <c r="I3953" s="338" t="s">
        <v>411</v>
      </c>
      <c r="J3953" s="339"/>
      <c r="K3953" s="339"/>
      <c r="L3953" s="339" t="s">
        <v>409</v>
      </c>
      <c r="M3953" s="339" t="s">
        <v>409</v>
      </c>
      <c r="N3953" s="338" t="s">
        <v>410</v>
      </c>
      <c r="O3953" s="338" t="s">
        <v>409</v>
      </c>
      <c r="P3953" s="338" t="s">
        <v>417</v>
      </c>
    </row>
    <row r="3954" spans="2:16" x14ac:dyDescent="0.25">
      <c r="B3954" s="336" t="s">
        <v>416</v>
      </c>
      <c r="C3954" s="337">
        <v>38911</v>
      </c>
      <c r="D3954" s="338" t="s">
        <v>2417</v>
      </c>
      <c r="E3954" s="336" t="s">
        <v>485</v>
      </c>
      <c r="F3954" s="338"/>
      <c r="G3954" s="338">
        <v>2.9</v>
      </c>
      <c r="H3954" s="338" t="s">
        <v>418</v>
      </c>
      <c r="I3954" s="338" t="s">
        <v>411</v>
      </c>
      <c r="J3954" s="339"/>
      <c r="K3954" s="339"/>
      <c r="L3954" s="339" t="s">
        <v>409</v>
      </c>
      <c r="M3954" s="339" t="s">
        <v>409</v>
      </c>
      <c r="N3954" s="338"/>
      <c r="O3954" s="338" t="s">
        <v>409</v>
      </c>
      <c r="P3954" s="338" t="s">
        <v>417</v>
      </c>
    </row>
    <row r="3955" spans="2:16" x14ac:dyDescent="0.25">
      <c r="B3955" s="336" t="s">
        <v>416</v>
      </c>
      <c r="C3955" s="337">
        <v>38910</v>
      </c>
      <c r="D3955" s="338" t="s">
        <v>2416</v>
      </c>
      <c r="E3955" s="336" t="s">
        <v>2415</v>
      </c>
      <c r="F3955" s="338"/>
      <c r="G3955" s="338" t="s">
        <v>413</v>
      </c>
      <c r="H3955" s="338" t="s">
        <v>696</v>
      </c>
      <c r="I3955" s="338" t="s">
        <v>411</v>
      </c>
      <c r="J3955" s="339"/>
      <c r="K3955" s="339"/>
      <c r="L3955" s="339" t="s">
        <v>409</v>
      </c>
      <c r="M3955" s="339" t="s">
        <v>409</v>
      </c>
      <c r="N3955" s="338" t="s">
        <v>417</v>
      </c>
      <c r="O3955" s="338" t="s">
        <v>409</v>
      </c>
      <c r="P3955" s="338" t="s">
        <v>543</v>
      </c>
    </row>
    <row r="3956" spans="2:16" x14ac:dyDescent="0.25">
      <c r="B3956" s="336" t="s">
        <v>416</v>
      </c>
      <c r="C3956" s="337">
        <v>38910</v>
      </c>
      <c r="D3956" s="338" t="s">
        <v>2414</v>
      </c>
      <c r="E3956" s="336" t="s">
        <v>1203</v>
      </c>
      <c r="F3956" s="338"/>
      <c r="G3956" s="338" t="s">
        <v>413</v>
      </c>
      <c r="H3956" s="338" t="s">
        <v>412</v>
      </c>
      <c r="I3956" s="338" t="s">
        <v>411</v>
      </c>
      <c r="J3956" s="339"/>
      <c r="K3956" s="339"/>
      <c r="L3956" s="339" t="s">
        <v>409</v>
      </c>
      <c r="M3956" s="339" t="s">
        <v>409</v>
      </c>
      <c r="N3956" s="338" t="s">
        <v>417</v>
      </c>
      <c r="O3956" s="338" t="s">
        <v>409</v>
      </c>
      <c r="P3956" s="338" t="s">
        <v>417</v>
      </c>
    </row>
    <row r="3957" spans="2:16" x14ac:dyDescent="0.25">
      <c r="B3957" s="336" t="s">
        <v>416</v>
      </c>
      <c r="C3957" s="337">
        <v>38909</v>
      </c>
      <c r="D3957" s="338" t="s">
        <v>2413</v>
      </c>
      <c r="E3957" s="336" t="s">
        <v>485</v>
      </c>
      <c r="F3957" s="338"/>
      <c r="G3957" s="338" t="s">
        <v>413</v>
      </c>
      <c r="H3957" s="338" t="s">
        <v>425</v>
      </c>
      <c r="I3957" s="338" t="s">
        <v>411</v>
      </c>
      <c r="J3957" s="339"/>
      <c r="K3957" s="339"/>
      <c r="L3957" s="339" t="s">
        <v>409</v>
      </c>
      <c r="M3957" s="339" t="s">
        <v>409</v>
      </c>
      <c r="N3957" s="338"/>
      <c r="O3957" s="338" t="s">
        <v>409</v>
      </c>
      <c r="P3957" s="338" t="s">
        <v>417</v>
      </c>
    </row>
    <row r="3958" spans="2:16" x14ac:dyDescent="0.25">
      <c r="B3958" s="336" t="s">
        <v>416</v>
      </c>
      <c r="C3958" s="337">
        <v>38909</v>
      </c>
      <c r="D3958" s="338" t="s">
        <v>2412</v>
      </c>
      <c r="E3958" s="336" t="s">
        <v>669</v>
      </c>
      <c r="F3958" s="338" t="s">
        <v>2411</v>
      </c>
      <c r="G3958" s="338" t="s">
        <v>413</v>
      </c>
      <c r="H3958" s="338" t="s">
        <v>412</v>
      </c>
      <c r="I3958" s="338" t="s">
        <v>411</v>
      </c>
      <c r="J3958" s="339"/>
      <c r="K3958" s="339"/>
      <c r="L3958" s="339">
        <v>0.41536699999999999</v>
      </c>
      <c r="M3958" s="339">
        <v>5.0869600000000004</v>
      </c>
      <c r="N3958" s="338" t="s">
        <v>417</v>
      </c>
      <c r="O3958" s="338" t="s">
        <v>410</v>
      </c>
      <c r="P3958" s="338"/>
    </row>
    <row r="3959" spans="2:16" x14ac:dyDescent="0.25">
      <c r="B3959" s="336" t="s">
        <v>416</v>
      </c>
      <c r="C3959" s="337">
        <v>38909</v>
      </c>
      <c r="D3959" s="338" t="s">
        <v>2410</v>
      </c>
      <c r="E3959" s="336" t="s">
        <v>1951</v>
      </c>
      <c r="F3959" s="338"/>
      <c r="G3959" s="338" t="s">
        <v>413</v>
      </c>
      <c r="H3959" s="338" t="s">
        <v>412</v>
      </c>
      <c r="I3959" s="338" t="s">
        <v>411</v>
      </c>
      <c r="J3959" s="339"/>
      <c r="K3959" s="339"/>
      <c r="L3959" s="339" t="s">
        <v>409</v>
      </c>
      <c r="M3959" s="339" t="s">
        <v>409</v>
      </c>
      <c r="N3959" s="338" t="s">
        <v>417</v>
      </c>
      <c r="O3959" s="338" t="s">
        <v>409</v>
      </c>
      <c r="P3959" s="338" t="s">
        <v>417</v>
      </c>
    </row>
    <row r="3960" spans="2:16" x14ac:dyDescent="0.25">
      <c r="B3960" s="336" t="s">
        <v>416</v>
      </c>
      <c r="C3960" s="337">
        <v>38908</v>
      </c>
      <c r="D3960" s="338" t="s">
        <v>2409</v>
      </c>
      <c r="E3960" s="336" t="s">
        <v>2247</v>
      </c>
      <c r="F3960" s="338" t="s">
        <v>980</v>
      </c>
      <c r="G3960" s="338">
        <v>100</v>
      </c>
      <c r="H3960" s="338" t="s">
        <v>425</v>
      </c>
      <c r="I3960" s="338" t="s">
        <v>411</v>
      </c>
      <c r="J3960" s="339"/>
      <c r="K3960" s="339"/>
      <c r="L3960" s="339">
        <v>0.87109899999999996</v>
      </c>
      <c r="M3960" s="339">
        <v>6.4264900000000003</v>
      </c>
      <c r="N3960" s="338"/>
      <c r="O3960" s="338" t="s">
        <v>417</v>
      </c>
      <c r="P3960" s="338" t="s">
        <v>443</v>
      </c>
    </row>
    <row r="3961" spans="2:16" x14ac:dyDescent="0.25">
      <c r="B3961" s="336" t="s">
        <v>416</v>
      </c>
      <c r="C3961" s="337">
        <v>38908</v>
      </c>
      <c r="D3961" s="338" t="s">
        <v>2408</v>
      </c>
      <c r="E3961" s="336" t="s">
        <v>2407</v>
      </c>
      <c r="F3961" s="338"/>
      <c r="G3961" s="338" t="s">
        <v>413</v>
      </c>
      <c r="H3961" s="338" t="s">
        <v>412</v>
      </c>
      <c r="I3961" s="338" t="s">
        <v>411</v>
      </c>
      <c r="J3961" s="339"/>
      <c r="K3961" s="339"/>
      <c r="L3961" s="339" t="s">
        <v>409</v>
      </c>
      <c r="M3961" s="339" t="s">
        <v>409</v>
      </c>
      <c r="N3961" s="338" t="s">
        <v>417</v>
      </c>
      <c r="O3961" s="338" t="s">
        <v>409</v>
      </c>
      <c r="P3961" s="338" t="s">
        <v>410</v>
      </c>
    </row>
    <row r="3962" spans="2:16" x14ac:dyDescent="0.25">
      <c r="B3962" s="336" t="s">
        <v>416</v>
      </c>
      <c r="C3962" s="337">
        <v>38908</v>
      </c>
      <c r="D3962" s="338" t="s">
        <v>2406</v>
      </c>
      <c r="E3962" s="336" t="s">
        <v>450</v>
      </c>
      <c r="F3962" s="338"/>
      <c r="G3962" s="338">
        <v>35</v>
      </c>
      <c r="H3962" s="338" t="s">
        <v>412</v>
      </c>
      <c r="I3962" s="338" t="s">
        <v>411</v>
      </c>
      <c r="J3962" s="339"/>
      <c r="K3962" s="339"/>
      <c r="L3962" s="339" t="s">
        <v>409</v>
      </c>
      <c r="M3962" s="339" t="s">
        <v>409</v>
      </c>
      <c r="N3962" s="338" t="s">
        <v>443</v>
      </c>
      <c r="O3962" s="338" t="s">
        <v>409</v>
      </c>
      <c r="P3962" s="338" t="s">
        <v>417</v>
      </c>
    </row>
    <row r="3963" spans="2:16" x14ac:dyDescent="0.25">
      <c r="B3963" s="336" t="s">
        <v>416</v>
      </c>
      <c r="C3963" s="337">
        <v>38908</v>
      </c>
      <c r="D3963" s="338" t="s">
        <v>2405</v>
      </c>
      <c r="E3963" s="336" t="s">
        <v>2404</v>
      </c>
      <c r="F3963" s="338"/>
      <c r="G3963" s="338" t="s">
        <v>413</v>
      </c>
      <c r="H3963" s="338" t="s">
        <v>425</v>
      </c>
      <c r="I3963" s="338" t="s">
        <v>411</v>
      </c>
      <c r="J3963" s="339"/>
      <c r="K3963" s="339"/>
      <c r="L3963" s="339" t="s">
        <v>409</v>
      </c>
      <c r="M3963" s="339" t="s">
        <v>409</v>
      </c>
      <c r="N3963" s="338" t="s">
        <v>417</v>
      </c>
      <c r="O3963" s="338" t="s">
        <v>409</v>
      </c>
      <c r="P3963" s="338" t="s">
        <v>443</v>
      </c>
    </row>
    <row r="3964" spans="2:16" x14ac:dyDescent="0.25">
      <c r="B3964" s="336" t="s">
        <v>416</v>
      </c>
      <c r="C3964" s="337">
        <v>38907</v>
      </c>
      <c r="D3964" s="338" t="s">
        <v>2403</v>
      </c>
      <c r="E3964" s="336" t="s">
        <v>2402</v>
      </c>
      <c r="F3964" s="338"/>
      <c r="G3964" s="338">
        <v>162</v>
      </c>
      <c r="H3964" s="338" t="s">
        <v>425</v>
      </c>
      <c r="I3964" s="338" t="s">
        <v>411</v>
      </c>
      <c r="J3964" s="339"/>
      <c r="K3964" s="339"/>
      <c r="L3964" s="339" t="s">
        <v>409</v>
      </c>
      <c r="M3964" s="339" t="s">
        <v>409</v>
      </c>
      <c r="N3964" s="338" t="s">
        <v>417</v>
      </c>
      <c r="O3964" s="338" t="s">
        <v>409</v>
      </c>
      <c r="P3964" s="338" t="s">
        <v>417</v>
      </c>
    </row>
    <row r="3965" spans="2:16" x14ac:dyDescent="0.25">
      <c r="B3965" s="336" t="s">
        <v>416</v>
      </c>
      <c r="C3965" s="337">
        <v>38903</v>
      </c>
      <c r="D3965" s="338" t="s">
        <v>2401</v>
      </c>
      <c r="E3965" s="336" t="s">
        <v>1619</v>
      </c>
      <c r="F3965" s="338"/>
      <c r="G3965" s="338" t="s">
        <v>413</v>
      </c>
      <c r="H3965" s="338" t="s">
        <v>412</v>
      </c>
      <c r="I3965" s="338" t="s">
        <v>411</v>
      </c>
      <c r="J3965" s="339"/>
      <c r="K3965" s="339"/>
      <c r="L3965" s="339" t="s">
        <v>409</v>
      </c>
      <c r="M3965" s="339" t="s">
        <v>409</v>
      </c>
      <c r="N3965" s="338" t="s">
        <v>417</v>
      </c>
      <c r="O3965" s="338" t="s">
        <v>409</v>
      </c>
      <c r="P3965" s="338" t="s">
        <v>417</v>
      </c>
    </row>
    <row r="3966" spans="2:16" x14ac:dyDescent="0.25">
      <c r="B3966" s="336" t="s">
        <v>416</v>
      </c>
      <c r="C3966" s="337">
        <v>38903</v>
      </c>
      <c r="D3966" s="338" t="s">
        <v>2400</v>
      </c>
      <c r="E3966" s="336" t="s">
        <v>2399</v>
      </c>
      <c r="F3966" s="338" t="s">
        <v>2398</v>
      </c>
      <c r="G3966" s="338">
        <v>14.3</v>
      </c>
      <c r="H3966" s="338" t="s">
        <v>425</v>
      </c>
      <c r="I3966" s="338" t="s">
        <v>411</v>
      </c>
      <c r="J3966" s="339"/>
      <c r="K3966" s="339"/>
      <c r="L3966" s="339"/>
      <c r="M3966" s="339"/>
      <c r="N3966" s="338"/>
      <c r="O3966" s="338" t="s">
        <v>410</v>
      </c>
      <c r="P3966" s="338" t="s">
        <v>410</v>
      </c>
    </row>
    <row r="3967" spans="2:16" x14ac:dyDescent="0.25">
      <c r="B3967" s="336" t="s">
        <v>416</v>
      </c>
      <c r="C3967" s="337">
        <v>38903</v>
      </c>
      <c r="D3967" s="338" t="s">
        <v>2397</v>
      </c>
      <c r="E3967" s="336" t="s">
        <v>2237</v>
      </c>
      <c r="F3967" s="338"/>
      <c r="G3967" s="338">
        <v>350</v>
      </c>
      <c r="H3967" s="338" t="s">
        <v>425</v>
      </c>
      <c r="I3967" s="338" t="s">
        <v>411</v>
      </c>
      <c r="J3967" s="339"/>
      <c r="K3967" s="339"/>
      <c r="L3967" s="339" t="s">
        <v>409</v>
      </c>
      <c r="M3967" s="339" t="s">
        <v>409</v>
      </c>
      <c r="N3967" s="338" t="s">
        <v>417</v>
      </c>
      <c r="O3967" s="338" t="s">
        <v>409</v>
      </c>
      <c r="P3967" s="338" t="s">
        <v>410</v>
      </c>
    </row>
    <row r="3968" spans="2:16" x14ac:dyDescent="0.25">
      <c r="B3968" s="336" t="s">
        <v>416</v>
      </c>
      <c r="C3968" s="337">
        <v>38903</v>
      </c>
      <c r="D3968" s="338" t="s">
        <v>2396</v>
      </c>
      <c r="E3968" s="336" t="s">
        <v>2395</v>
      </c>
      <c r="F3968" s="338"/>
      <c r="G3968" s="338" t="s">
        <v>413</v>
      </c>
      <c r="H3968" s="338" t="s">
        <v>412</v>
      </c>
      <c r="I3968" s="338" t="s">
        <v>411</v>
      </c>
      <c r="J3968" s="339"/>
      <c r="K3968" s="339"/>
      <c r="L3968" s="339" t="s">
        <v>409</v>
      </c>
      <c r="M3968" s="339" t="s">
        <v>409</v>
      </c>
      <c r="N3968" s="338" t="s">
        <v>417</v>
      </c>
      <c r="O3968" s="338" t="s">
        <v>409</v>
      </c>
      <c r="P3968" s="338" t="s">
        <v>417</v>
      </c>
    </row>
    <row r="3969" spans="2:16" x14ac:dyDescent="0.25">
      <c r="B3969" s="336" t="s">
        <v>416</v>
      </c>
      <c r="C3969" s="337">
        <v>38898</v>
      </c>
      <c r="D3969" s="338" t="s">
        <v>2394</v>
      </c>
      <c r="E3969" s="336" t="s">
        <v>2393</v>
      </c>
      <c r="F3969" s="338"/>
      <c r="G3969" s="338">
        <v>5522.88</v>
      </c>
      <c r="H3969" s="338" t="s">
        <v>425</v>
      </c>
      <c r="I3969" s="338" t="s">
        <v>411</v>
      </c>
      <c r="J3969" s="339"/>
      <c r="K3969" s="339"/>
      <c r="L3969" s="339" t="s">
        <v>409</v>
      </c>
      <c r="M3969" s="339" t="s">
        <v>409</v>
      </c>
      <c r="N3969" s="338" t="s">
        <v>417</v>
      </c>
      <c r="O3969" s="338" t="s">
        <v>409</v>
      </c>
      <c r="P3969" s="338"/>
    </row>
    <row r="3970" spans="2:16" x14ac:dyDescent="0.25">
      <c r="B3970" s="336" t="s">
        <v>416</v>
      </c>
      <c r="C3970" s="337">
        <v>38898</v>
      </c>
      <c r="D3970" s="338" t="s">
        <v>2392</v>
      </c>
      <c r="E3970" s="336" t="s">
        <v>2388</v>
      </c>
      <c r="F3970" s="338"/>
      <c r="G3970" s="338">
        <v>4.47</v>
      </c>
      <c r="H3970" s="338" t="s">
        <v>336</v>
      </c>
      <c r="I3970" s="338" t="s">
        <v>411</v>
      </c>
      <c r="J3970" s="339"/>
      <c r="K3970" s="339"/>
      <c r="L3970" s="339" t="s">
        <v>409</v>
      </c>
      <c r="M3970" s="339" t="s">
        <v>409</v>
      </c>
      <c r="N3970" s="338" t="s">
        <v>417</v>
      </c>
      <c r="O3970" s="338" t="s">
        <v>409</v>
      </c>
      <c r="P3970" s="338" t="s">
        <v>417</v>
      </c>
    </row>
    <row r="3971" spans="2:16" x14ac:dyDescent="0.25">
      <c r="B3971" s="336" t="s">
        <v>416</v>
      </c>
      <c r="C3971" s="337">
        <v>38898</v>
      </c>
      <c r="D3971" s="338" t="s">
        <v>2391</v>
      </c>
      <c r="E3971" s="336" t="s">
        <v>2390</v>
      </c>
      <c r="F3971" s="338"/>
      <c r="G3971" s="338" t="s">
        <v>413</v>
      </c>
      <c r="H3971" s="338" t="s">
        <v>412</v>
      </c>
      <c r="I3971" s="338" t="s">
        <v>411</v>
      </c>
      <c r="J3971" s="339"/>
      <c r="K3971" s="339"/>
      <c r="L3971" s="339" t="s">
        <v>409</v>
      </c>
      <c r="M3971" s="339" t="s">
        <v>409</v>
      </c>
      <c r="N3971" s="338" t="s">
        <v>417</v>
      </c>
      <c r="O3971" s="338" t="s">
        <v>409</v>
      </c>
      <c r="P3971" s="338" t="s">
        <v>443</v>
      </c>
    </row>
    <row r="3972" spans="2:16" x14ac:dyDescent="0.25">
      <c r="B3972" s="336" t="s">
        <v>416</v>
      </c>
      <c r="C3972" s="337">
        <v>38898</v>
      </c>
      <c r="D3972" s="338" t="s">
        <v>2389</v>
      </c>
      <c r="E3972" s="336" t="s">
        <v>2388</v>
      </c>
      <c r="F3972" s="338" t="s">
        <v>2387</v>
      </c>
      <c r="G3972" s="338">
        <v>7</v>
      </c>
      <c r="H3972" s="338" t="s">
        <v>425</v>
      </c>
      <c r="I3972" s="338" t="s">
        <v>411</v>
      </c>
      <c r="J3972" s="339"/>
      <c r="K3972" s="339"/>
      <c r="L3972" s="339"/>
      <c r="M3972" s="339"/>
      <c r="N3972" s="338"/>
      <c r="O3972" s="338" t="s">
        <v>417</v>
      </c>
      <c r="P3972" s="338" t="s">
        <v>417</v>
      </c>
    </row>
    <row r="3973" spans="2:16" x14ac:dyDescent="0.25">
      <c r="B3973" s="336" t="s">
        <v>416</v>
      </c>
      <c r="C3973" s="337">
        <v>38898</v>
      </c>
      <c r="D3973" s="338" t="s">
        <v>2386</v>
      </c>
      <c r="E3973" s="336" t="s">
        <v>2385</v>
      </c>
      <c r="F3973" s="338" t="s">
        <v>2384</v>
      </c>
      <c r="G3973" s="338">
        <v>62</v>
      </c>
      <c r="H3973" s="338" t="s">
        <v>425</v>
      </c>
      <c r="I3973" s="338" t="s">
        <v>411</v>
      </c>
      <c r="J3973" s="339"/>
      <c r="K3973" s="339"/>
      <c r="L3973" s="339">
        <v>5.9969700000000001</v>
      </c>
      <c r="M3973" s="339">
        <v>24.277799999999999</v>
      </c>
      <c r="N3973" s="338"/>
      <c r="O3973" s="338" t="s">
        <v>443</v>
      </c>
      <c r="P3973" s="338" t="s">
        <v>443</v>
      </c>
    </row>
    <row r="3974" spans="2:16" x14ac:dyDescent="0.25">
      <c r="B3974" s="336" t="s">
        <v>416</v>
      </c>
      <c r="C3974" s="337">
        <v>38898</v>
      </c>
      <c r="D3974" s="338" t="s">
        <v>2383</v>
      </c>
      <c r="E3974" s="336" t="s">
        <v>479</v>
      </c>
      <c r="F3974" s="338" t="s">
        <v>862</v>
      </c>
      <c r="G3974" s="338" t="s">
        <v>413</v>
      </c>
      <c r="H3974" s="338" t="s">
        <v>425</v>
      </c>
      <c r="I3974" s="338" t="s">
        <v>411</v>
      </c>
      <c r="J3974" s="339"/>
      <c r="K3974" s="339"/>
      <c r="L3974" s="339"/>
      <c r="M3974" s="339"/>
      <c r="N3974" s="338" t="s">
        <v>417</v>
      </c>
      <c r="O3974" s="338" t="s">
        <v>443</v>
      </c>
      <c r="P3974" s="338" t="s">
        <v>443</v>
      </c>
    </row>
    <row r="3975" spans="2:16" x14ac:dyDescent="0.25">
      <c r="B3975" s="336" t="s">
        <v>416</v>
      </c>
      <c r="C3975" s="337">
        <v>38898</v>
      </c>
      <c r="D3975" s="338" t="s">
        <v>2383</v>
      </c>
      <c r="E3975" s="336" t="s">
        <v>479</v>
      </c>
      <c r="F3975" s="338" t="s">
        <v>862</v>
      </c>
      <c r="G3975" s="338" t="s">
        <v>413</v>
      </c>
      <c r="H3975" s="338" t="s">
        <v>425</v>
      </c>
      <c r="I3975" s="338" t="s">
        <v>411</v>
      </c>
      <c r="J3975" s="339"/>
      <c r="K3975" s="339"/>
      <c r="L3975" s="339"/>
      <c r="M3975" s="339"/>
      <c r="N3975" s="338" t="s">
        <v>417</v>
      </c>
      <c r="O3975" s="338" t="s">
        <v>443</v>
      </c>
      <c r="P3975" s="338" t="s">
        <v>443</v>
      </c>
    </row>
    <row r="3976" spans="2:16" x14ac:dyDescent="0.25">
      <c r="B3976" s="336" t="s">
        <v>416</v>
      </c>
      <c r="C3976" s="337">
        <v>38897</v>
      </c>
      <c r="D3976" s="338" t="s">
        <v>2382</v>
      </c>
      <c r="E3976" s="336" t="s">
        <v>1619</v>
      </c>
      <c r="F3976" s="338"/>
      <c r="G3976" s="338" t="s">
        <v>413</v>
      </c>
      <c r="H3976" s="338" t="s">
        <v>412</v>
      </c>
      <c r="I3976" s="338" t="s">
        <v>411</v>
      </c>
      <c r="J3976" s="339"/>
      <c r="K3976" s="339"/>
      <c r="L3976" s="339" t="s">
        <v>409</v>
      </c>
      <c r="M3976" s="339" t="s">
        <v>409</v>
      </c>
      <c r="N3976" s="338" t="s">
        <v>410</v>
      </c>
      <c r="O3976" s="338" t="s">
        <v>409</v>
      </c>
      <c r="P3976" s="338" t="s">
        <v>417</v>
      </c>
    </row>
    <row r="3977" spans="2:16" x14ac:dyDescent="0.25">
      <c r="B3977" s="336" t="s">
        <v>416</v>
      </c>
      <c r="C3977" s="337">
        <v>38897</v>
      </c>
      <c r="D3977" s="338" t="s">
        <v>2381</v>
      </c>
      <c r="E3977" s="336" t="s">
        <v>944</v>
      </c>
      <c r="F3977" s="338" t="s">
        <v>2380</v>
      </c>
      <c r="G3977" s="338">
        <v>14</v>
      </c>
      <c r="H3977" s="338" t="s">
        <v>425</v>
      </c>
      <c r="I3977" s="338" t="s">
        <v>411</v>
      </c>
      <c r="J3977" s="339"/>
      <c r="K3977" s="339"/>
      <c r="L3977" s="339">
        <v>0.24058099999999999</v>
      </c>
      <c r="M3977" s="339">
        <v>4.5804200000000002</v>
      </c>
      <c r="N3977" s="338"/>
      <c r="O3977" s="338" t="s">
        <v>417</v>
      </c>
      <c r="P3977" s="338" t="s">
        <v>417</v>
      </c>
    </row>
    <row r="3978" spans="2:16" x14ac:dyDescent="0.25">
      <c r="B3978" s="336" t="s">
        <v>416</v>
      </c>
      <c r="C3978" s="337">
        <v>38896</v>
      </c>
      <c r="D3978" s="338" t="s">
        <v>2379</v>
      </c>
      <c r="E3978" s="336" t="s">
        <v>1617</v>
      </c>
      <c r="F3978" s="338"/>
      <c r="G3978" s="338" t="s">
        <v>413</v>
      </c>
      <c r="H3978" s="338" t="s">
        <v>425</v>
      </c>
      <c r="I3978" s="338" t="s">
        <v>411</v>
      </c>
      <c r="J3978" s="339"/>
      <c r="K3978" s="339"/>
      <c r="L3978" s="339" t="s">
        <v>409</v>
      </c>
      <c r="M3978" s="339" t="s">
        <v>409</v>
      </c>
      <c r="N3978" s="338"/>
      <c r="O3978" s="338" t="s">
        <v>409</v>
      </c>
      <c r="P3978" s="338" t="s">
        <v>417</v>
      </c>
    </row>
    <row r="3979" spans="2:16" x14ac:dyDescent="0.25">
      <c r="B3979" s="336" t="s">
        <v>416</v>
      </c>
      <c r="C3979" s="337">
        <v>38896</v>
      </c>
      <c r="D3979" s="338" t="s">
        <v>2378</v>
      </c>
      <c r="E3979" s="336" t="s">
        <v>1617</v>
      </c>
      <c r="F3979" s="338"/>
      <c r="G3979" s="338" t="s">
        <v>413</v>
      </c>
      <c r="H3979" s="338" t="s">
        <v>425</v>
      </c>
      <c r="I3979" s="338" t="s">
        <v>411</v>
      </c>
      <c r="J3979" s="339"/>
      <c r="K3979" s="339"/>
      <c r="L3979" s="339" t="s">
        <v>409</v>
      </c>
      <c r="M3979" s="339" t="s">
        <v>409</v>
      </c>
      <c r="N3979" s="338"/>
      <c r="O3979" s="338" t="s">
        <v>409</v>
      </c>
      <c r="P3979" s="338" t="s">
        <v>417</v>
      </c>
    </row>
    <row r="3980" spans="2:16" x14ac:dyDescent="0.25">
      <c r="B3980" s="336" t="s">
        <v>416</v>
      </c>
      <c r="C3980" s="337">
        <v>38895</v>
      </c>
      <c r="D3980" s="338" t="s">
        <v>2377</v>
      </c>
      <c r="E3980" s="336" t="s">
        <v>598</v>
      </c>
      <c r="F3980" s="338"/>
      <c r="G3980" s="338" t="s">
        <v>413</v>
      </c>
      <c r="H3980" s="338" t="s">
        <v>425</v>
      </c>
      <c r="I3980" s="338" t="s">
        <v>411</v>
      </c>
      <c r="J3980" s="339"/>
      <c r="K3980" s="339"/>
      <c r="L3980" s="339" t="s">
        <v>409</v>
      </c>
      <c r="M3980" s="339" t="s">
        <v>409</v>
      </c>
      <c r="N3980" s="338"/>
      <c r="O3980" s="338" t="s">
        <v>409</v>
      </c>
      <c r="P3980" s="338" t="s">
        <v>417</v>
      </c>
    </row>
    <row r="3981" spans="2:16" x14ac:dyDescent="0.25">
      <c r="B3981" s="336" t="s">
        <v>416</v>
      </c>
      <c r="C3981" s="337">
        <v>38894</v>
      </c>
      <c r="D3981" s="338" t="s">
        <v>2376</v>
      </c>
      <c r="E3981" s="336" t="s">
        <v>2375</v>
      </c>
      <c r="F3981" s="338" t="s">
        <v>980</v>
      </c>
      <c r="G3981" s="338" t="s">
        <v>413</v>
      </c>
      <c r="H3981" s="338" t="s">
        <v>425</v>
      </c>
      <c r="I3981" s="338" t="s">
        <v>411</v>
      </c>
      <c r="J3981" s="339"/>
      <c r="K3981" s="339"/>
      <c r="L3981" s="339">
        <v>0.87109899999999996</v>
      </c>
      <c r="M3981" s="339">
        <v>6.4264900000000003</v>
      </c>
      <c r="N3981" s="338" t="s">
        <v>410</v>
      </c>
      <c r="O3981" s="338" t="s">
        <v>417</v>
      </c>
      <c r="P3981" s="338" t="s">
        <v>410</v>
      </c>
    </row>
    <row r="3982" spans="2:16" x14ac:dyDescent="0.25">
      <c r="B3982" s="336" t="s">
        <v>416</v>
      </c>
      <c r="C3982" s="337">
        <v>38894</v>
      </c>
      <c r="D3982" s="338" t="s">
        <v>2374</v>
      </c>
      <c r="E3982" s="336" t="s">
        <v>2373</v>
      </c>
      <c r="F3982" s="338" t="s">
        <v>2372</v>
      </c>
      <c r="G3982" s="338">
        <v>625</v>
      </c>
      <c r="H3982" s="338" t="s">
        <v>425</v>
      </c>
      <c r="I3982" s="338" t="s">
        <v>411</v>
      </c>
      <c r="J3982" s="339"/>
      <c r="K3982" s="339"/>
      <c r="L3982" s="339"/>
      <c r="M3982" s="339"/>
      <c r="N3982" s="338" t="s">
        <v>410</v>
      </c>
      <c r="O3982" s="338" t="s">
        <v>443</v>
      </c>
      <c r="P3982" s="338" t="s">
        <v>443</v>
      </c>
    </row>
    <row r="3983" spans="2:16" x14ac:dyDescent="0.25">
      <c r="B3983" s="336" t="s">
        <v>416</v>
      </c>
      <c r="C3983" s="337">
        <v>38894</v>
      </c>
      <c r="D3983" s="338" t="s">
        <v>2371</v>
      </c>
      <c r="E3983" s="336" t="s">
        <v>2265</v>
      </c>
      <c r="F3983" s="338"/>
      <c r="G3983" s="338" t="s">
        <v>413</v>
      </c>
      <c r="H3983" s="338" t="s">
        <v>412</v>
      </c>
      <c r="I3983" s="338" t="s">
        <v>411</v>
      </c>
      <c r="J3983" s="339"/>
      <c r="K3983" s="339"/>
      <c r="L3983" s="339" t="s">
        <v>409</v>
      </c>
      <c r="M3983" s="339" t="s">
        <v>409</v>
      </c>
      <c r="N3983" s="338" t="s">
        <v>417</v>
      </c>
      <c r="O3983" s="338" t="s">
        <v>409</v>
      </c>
      <c r="P3983" s="338" t="s">
        <v>417</v>
      </c>
    </row>
    <row r="3984" spans="2:16" x14ac:dyDescent="0.25">
      <c r="B3984" s="336" t="s">
        <v>416</v>
      </c>
      <c r="C3984" s="337">
        <v>38890</v>
      </c>
      <c r="D3984" s="338" t="s">
        <v>2370</v>
      </c>
      <c r="E3984" s="336" t="s">
        <v>983</v>
      </c>
      <c r="F3984" s="338"/>
      <c r="G3984" s="338" t="s">
        <v>413</v>
      </c>
      <c r="H3984" s="338" t="s">
        <v>425</v>
      </c>
      <c r="I3984" s="338" t="s">
        <v>411</v>
      </c>
      <c r="J3984" s="339"/>
      <c r="K3984" s="339"/>
      <c r="L3984" s="339" t="s">
        <v>409</v>
      </c>
      <c r="M3984" s="339" t="s">
        <v>409</v>
      </c>
      <c r="N3984" s="338"/>
      <c r="O3984" s="338" t="s">
        <v>409</v>
      </c>
      <c r="P3984" s="338" t="s">
        <v>417</v>
      </c>
    </row>
    <row r="3985" spans="2:16" x14ac:dyDescent="0.25">
      <c r="B3985" s="336" t="s">
        <v>416</v>
      </c>
      <c r="C3985" s="337">
        <v>38890</v>
      </c>
      <c r="D3985" s="338" t="s">
        <v>2369</v>
      </c>
      <c r="E3985" s="336" t="s">
        <v>983</v>
      </c>
      <c r="F3985" s="338"/>
      <c r="G3985" s="338" t="s">
        <v>413</v>
      </c>
      <c r="H3985" s="338" t="s">
        <v>425</v>
      </c>
      <c r="I3985" s="338" t="s">
        <v>411</v>
      </c>
      <c r="J3985" s="339"/>
      <c r="K3985" s="339"/>
      <c r="L3985" s="339" t="s">
        <v>409</v>
      </c>
      <c r="M3985" s="339" t="s">
        <v>409</v>
      </c>
      <c r="N3985" s="338"/>
      <c r="O3985" s="338" t="s">
        <v>409</v>
      </c>
      <c r="P3985" s="338" t="s">
        <v>417</v>
      </c>
    </row>
    <row r="3986" spans="2:16" x14ac:dyDescent="0.25">
      <c r="B3986" s="336" t="s">
        <v>416</v>
      </c>
      <c r="C3986" s="337">
        <v>38889</v>
      </c>
      <c r="D3986" s="338" t="s">
        <v>2368</v>
      </c>
      <c r="E3986" s="336" t="s">
        <v>1839</v>
      </c>
      <c r="F3986" s="338"/>
      <c r="G3986" s="338" t="s">
        <v>413</v>
      </c>
      <c r="H3986" s="338" t="s">
        <v>412</v>
      </c>
      <c r="I3986" s="338" t="s">
        <v>411</v>
      </c>
      <c r="J3986" s="339"/>
      <c r="K3986" s="339"/>
      <c r="L3986" s="339" t="s">
        <v>409</v>
      </c>
      <c r="M3986" s="339" t="s">
        <v>409</v>
      </c>
      <c r="N3986" s="338" t="s">
        <v>432</v>
      </c>
      <c r="O3986" s="338" t="s">
        <v>409</v>
      </c>
      <c r="P3986" s="338" t="s">
        <v>432</v>
      </c>
    </row>
    <row r="3987" spans="2:16" x14ac:dyDescent="0.25">
      <c r="B3987" s="336" t="s">
        <v>416</v>
      </c>
      <c r="C3987" s="337">
        <v>38889</v>
      </c>
      <c r="D3987" s="338" t="s">
        <v>2367</v>
      </c>
      <c r="E3987" s="336" t="s">
        <v>2366</v>
      </c>
      <c r="F3987" s="338"/>
      <c r="G3987" s="338" t="s">
        <v>413</v>
      </c>
      <c r="H3987" s="338" t="s">
        <v>425</v>
      </c>
      <c r="I3987" s="338" t="s">
        <v>411</v>
      </c>
      <c r="J3987" s="339"/>
      <c r="K3987" s="339"/>
      <c r="L3987" s="339" t="s">
        <v>409</v>
      </c>
      <c r="M3987" s="339" t="s">
        <v>409</v>
      </c>
      <c r="N3987" s="338" t="s">
        <v>417</v>
      </c>
      <c r="O3987" s="338" t="s">
        <v>409</v>
      </c>
      <c r="P3987" s="338" t="s">
        <v>443</v>
      </c>
    </row>
    <row r="3988" spans="2:16" x14ac:dyDescent="0.25">
      <c r="B3988" s="336" t="s">
        <v>416</v>
      </c>
      <c r="C3988" s="337">
        <v>38888</v>
      </c>
      <c r="D3988" s="338" t="s">
        <v>2365</v>
      </c>
      <c r="E3988" s="336" t="s">
        <v>1818</v>
      </c>
      <c r="F3988" s="338"/>
      <c r="G3988" s="338">
        <v>10.62</v>
      </c>
      <c r="H3988" s="338" t="s">
        <v>425</v>
      </c>
      <c r="I3988" s="338" t="s">
        <v>411</v>
      </c>
      <c r="J3988" s="339">
        <v>1.88524</v>
      </c>
      <c r="K3988" s="339">
        <v>7.7884700000000002</v>
      </c>
      <c r="L3988" s="339" t="s">
        <v>409</v>
      </c>
      <c r="M3988" s="339" t="s">
        <v>409</v>
      </c>
      <c r="N3988" s="338" t="s">
        <v>417</v>
      </c>
      <c r="O3988" s="338" t="s">
        <v>409</v>
      </c>
      <c r="P3988" s="338" t="s">
        <v>410</v>
      </c>
    </row>
    <row r="3989" spans="2:16" x14ac:dyDescent="0.25">
      <c r="B3989" s="336" t="s">
        <v>459</v>
      </c>
      <c r="C3989" s="337">
        <v>38887</v>
      </c>
      <c r="D3989" s="338" t="s">
        <v>2363</v>
      </c>
      <c r="E3989" s="336" t="s">
        <v>2364</v>
      </c>
      <c r="F3989" s="338" t="s">
        <v>814</v>
      </c>
      <c r="G3989" s="338">
        <v>575</v>
      </c>
      <c r="H3989" s="338" t="s">
        <v>425</v>
      </c>
      <c r="I3989" s="338" t="s">
        <v>411</v>
      </c>
      <c r="J3989" s="339">
        <v>1.79796</v>
      </c>
      <c r="K3989" s="339">
        <v>11.0528</v>
      </c>
      <c r="L3989" s="339">
        <v>2.1220400000000001</v>
      </c>
      <c r="M3989" s="339">
        <v>11.5387</v>
      </c>
      <c r="N3989" s="338" t="s">
        <v>417</v>
      </c>
      <c r="O3989" s="338" t="s">
        <v>410</v>
      </c>
      <c r="P3989" s="338" t="s">
        <v>443</v>
      </c>
    </row>
    <row r="3990" spans="2:16" x14ac:dyDescent="0.25">
      <c r="B3990" s="336" t="s">
        <v>541</v>
      </c>
      <c r="C3990" s="337">
        <v>38887</v>
      </c>
      <c r="D3990" s="338" t="s">
        <v>2363</v>
      </c>
      <c r="E3990" s="336" t="s">
        <v>539</v>
      </c>
      <c r="F3990" s="338" t="s">
        <v>814</v>
      </c>
      <c r="G3990" s="338">
        <v>678.45</v>
      </c>
      <c r="H3990" s="338"/>
      <c r="I3990" s="338" t="s">
        <v>411</v>
      </c>
      <c r="J3990" s="339">
        <v>1.79796</v>
      </c>
      <c r="K3990" s="339">
        <v>11.0528</v>
      </c>
      <c r="L3990" s="339">
        <v>2.1220400000000001</v>
      </c>
      <c r="M3990" s="339">
        <v>11.5387</v>
      </c>
      <c r="N3990" s="338" t="s">
        <v>417</v>
      </c>
      <c r="O3990" s="338" t="s">
        <v>410</v>
      </c>
      <c r="P3990" s="338" t="s">
        <v>409</v>
      </c>
    </row>
    <row r="3991" spans="2:16" x14ac:dyDescent="0.25">
      <c r="B3991" s="336" t="s">
        <v>416</v>
      </c>
      <c r="C3991" s="337">
        <v>38884</v>
      </c>
      <c r="D3991" s="338" t="s">
        <v>2362</v>
      </c>
      <c r="E3991" s="336" t="s">
        <v>1862</v>
      </c>
      <c r="F3991" s="338" t="s">
        <v>2361</v>
      </c>
      <c r="G3991" s="338" t="s">
        <v>413</v>
      </c>
      <c r="H3991" s="338" t="s">
        <v>412</v>
      </c>
      <c r="I3991" s="338" t="s">
        <v>411</v>
      </c>
      <c r="J3991" s="339"/>
      <c r="K3991" s="339"/>
      <c r="L3991" s="339"/>
      <c r="M3991" s="339"/>
      <c r="N3991" s="338" t="s">
        <v>417</v>
      </c>
      <c r="O3991" s="338" t="s">
        <v>487</v>
      </c>
      <c r="P3991" s="338" t="s">
        <v>443</v>
      </c>
    </row>
    <row r="3992" spans="2:16" x14ac:dyDescent="0.25">
      <c r="B3992" s="336" t="s">
        <v>416</v>
      </c>
      <c r="C3992" s="337">
        <v>38884</v>
      </c>
      <c r="D3992" s="338" t="s">
        <v>2360</v>
      </c>
      <c r="E3992" s="336" t="s">
        <v>669</v>
      </c>
      <c r="F3992" s="338" t="s">
        <v>2356</v>
      </c>
      <c r="G3992" s="338">
        <v>151.9</v>
      </c>
      <c r="H3992" s="338" t="s">
        <v>425</v>
      </c>
      <c r="I3992" s="338" t="s">
        <v>411</v>
      </c>
      <c r="J3992" s="339"/>
      <c r="K3992" s="339"/>
      <c r="L3992" s="339">
        <v>11.452999999999999</v>
      </c>
      <c r="M3992" s="339">
        <v>14.7605</v>
      </c>
      <c r="N3992" s="338"/>
      <c r="O3992" s="338" t="s">
        <v>443</v>
      </c>
      <c r="P3992" s="338"/>
    </row>
    <row r="3993" spans="2:16" x14ac:dyDescent="0.25">
      <c r="B3993" s="336" t="s">
        <v>416</v>
      </c>
      <c r="C3993" s="337">
        <v>38884</v>
      </c>
      <c r="D3993" s="338" t="s">
        <v>2359</v>
      </c>
      <c r="E3993" s="336" t="s">
        <v>2358</v>
      </c>
      <c r="F3993" s="338"/>
      <c r="G3993" s="338" t="s">
        <v>413</v>
      </c>
      <c r="H3993" s="338" t="s">
        <v>425</v>
      </c>
      <c r="I3993" s="338" t="s">
        <v>411</v>
      </c>
      <c r="J3993" s="339"/>
      <c r="K3993" s="339"/>
      <c r="L3993" s="339" t="s">
        <v>409</v>
      </c>
      <c r="M3993" s="339" t="s">
        <v>409</v>
      </c>
      <c r="N3993" s="338"/>
      <c r="O3993" s="338" t="s">
        <v>409</v>
      </c>
      <c r="P3993" s="338" t="s">
        <v>443</v>
      </c>
    </row>
    <row r="3994" spans="2:16" x14ac:dyDescent="0.25">
      <c r="B3994" s="336" t="s">
        <v>416</v>
      </c>
      <c r="C3994" s="337">
        <v>38884</v>
      </c>
      <c r="D3994" s="338" t="s">
        <v>2357</v>
      </c>
      <c r="E3994" s="336" t="s">
        <v>669</v>
      </c>
      <c r="F3994" s="338" t="s">
        <v>2356</v>
      </c>
      <c r="G3994" s="338">
        <v>16</v>
      </c>
      <c r="H3994" s="338" t="s">
        <v>425</v>
      </c>
      <c r="I3994" s="338" t="s">
        <v>411</v>
      </c>
      <c r="J3994" s="339"/>
      <c r="K3994" s="339"/>
      <c r="L3994" s="339">
        <v>11.452999999999999</v>
      </c>
      <c r="M3994" s="339">
        <v>14.7605</v>
      </c>
      <c r="N3994" s="338"/>
      <c r="O3994" s="338" t="s">
        <v>443</v>
      </c>
      <c r="P3994" s="338"/>
    </row>
    <row r="3995" spans="2:16" x14ac:dyDescent="0.25">
      <c r="B3995" s="336" t="s">
        <v>416</v>
      </c>
      <c r="C3995" s="337">
        <v>38883</v>
      </c>
      <c r="D3995" s="338" t="s">
        <v>2355</v>
      </c>
      <c r="E3995" s="336" t="s">
        <v>834</v>
      </c>
      <c r="F3995" s="338"/>
      <c r="G3995" s="338">
        <v>14.49</v>
      </c>
      <c r="H3995" s="338" t="s">
        <v>425</v>
      </c>
      <c r="I3995" s="338" t="s">
        <v>411</v>
      </c>
      <c r="J3995" s="339">
        <v>1.52458</v>
      </c>
      <c r="K3995" s="339"/>
      <c r="L3995" s="339" t="s">
        <v>409</v>
      </c>
      <c r="M3995" s="339" t="s">
        <v>409</v>
      </c>
      <c r="N3995" s="338" t="s">
        <v>410</v>
      </c>
      <c r="O3995" s="338" t="s">
        <v>409</v>
      </c>
      <c r="P3995" s="338" t="s">
        <v>417</v>
      </c>
    </row>
    <row r="3996" spans="2:16" x14ac:dyDescent="0.25">
      <c r="B3996" s="336" t="s">
        <v>416</v>
      </c>
      <c r="C3996" s="337">
        <v>38883</v>
      </c>
      <c r="D3996" s="338" t="s">
        <v>2354</v>
      </c>
      <c r="E3996" s="336" t="s">
        <v>2353</v>
      </c>
      <c r="F3996" s="338" t="s">
        <v>2352</v>
      </c>
      <c r="G3996" s="338">
        <v>46</v>
      </c>
      <c r="H3996" s="338" t="s">
        <v>425</v>
      </c>
      <c r="I3996" s="338" t="s">
        <v>411</v>
      </c>
      <c r="J3996" s="339"/>
      <c r="K3996" s="339"/>
      <c r="L3996" s="339"/>
      <c r="M3996" s="339"/>
      <c r="N3996" s="338"/>
      <c r="O3996" s="338" t="s">
        <v>408</v>
      </c>
      <c r="P3996" s="338" t="s">
        <v>408</v>
      </c>
    </row>
    <row r="3997" spans="2:16" x14ac:dyDescent="0.25">
      <c r="B3997" s="336" t="s">
        <v>416</v>
      </c>
      <c r="C3997" s="337">
        <v>38883</v>
      </c>
      <c r="D3997" s="338" t="s">
        <v>2351</v>
      </c>
      <c r="E3997" s="336" t="s">
        <v>2350</v>
      </c>
      <c r="F3997" s="338" t="s">
        <v>2349</v>
      </c>
      <c r="G3997" s="338">
        <v>46.5</v>
      </c>
      <c r="H3997" s="338" t="s">
        <v>425</v>
      </c>
      <c r="I3997" s="338" t="s">
        <v>411</v>
      </c>
      <c r="J3997" s="339"/>
      <c r="K3997" s="339"/>
      <c r="L3997" s="339">
        <v>0.17391699999999999</v>
      </c>
      <c r="M3997" s="339">
        <v>5.0973499999999996</v>
      </c>
      <c r="N3997" s="338" t="s">
        <v>432</v>
      </c>
      <c r="O3997" s="338" t="s">
        <v>605</v>
      </c>
      <c r="P3997" s="338" t="s">
        <v>410</v>
      </c>
    </row>
    <row r="3998" spans="2:16" x14ac:dyDescent="0.25">
      <c r="B3998" s="336" t="s">
        <v>416</v>
      </c>
      <c r="C3998" s="337">
        <v>38883</v>
      </c>
      <c r="D3998" s="338" t="s">
        <v>2348</v>
      </c>
      <c r="E3998" s="336" t="s">
        <v>2347</v>
      </c>
      <c r="F3998" s="338"/>
      <c r="G3998" s="338" t="s">
        <v>413</v>
      </c>
      <c r="H3998" s="338" t="s">
        <v>425</v>
      </c>
      <c r="I3998" s="338" t="s">
        <v>411</v>
      </c>
      <c r="J3998" s="339"/>
      <c r="K3998" s="339"/>
      <c r="L3998" s="339" t="s">
        <v>409</v>
      </c>
      <c r="M3998" s="339" t="s">
        <v>409</v>
      </c>
      <c r="N3998" s="338" t="s">
        <v>417</v>
      </c>
      <c r="O3998" s="338" t="s">
        <v>409</v>
      </c>
      <c r="P3998" s="338" t="s">
        <v>443</v>
      </c>
    </row>
    <row r="3999" spans="2:16" x14ac:dyDescent="0.25">
      <c r="B3999" s="336" t="s">
        <v>416</v>
      </c>
      <c r="C3999" s="337">
        <v>38882</v>
      </c>
      <c r="D3999" s="338" t="s">
        <v>2346</v>
      </c>
      <c r="E3999" s="336" t="s">
        <v>1273</v>
      </c>
      <c r="F3999" s="338" t="s">
        <v>928</v>
      </c>
      <c r="G3999" s="338">
        <v>0.2</v>
      </c>
      <c r="H3999" s="338" t="s">
        <v>425</v>
      </c>
      <c r="I3999" s="338" t="s">
        <v>411</v>
      </c>
      <c r="J3999" s="339"/>
      <c r="K3999" s="339"/>
      <c r="L3999" s="339"/>
      <c r="M3999" s="339"/>
      <c r="N3999" s="338"/>
      <c r="O3999" s="338" t="s">
        <v>417</v>
      </c>
      <c r="P3999" s="338" t="s">
        <v>443</v>
      </c>
    </row>
    <row r="4000" spans="2:16" x14ac:dyDescent="0.25">
      <c r="B4000" s="336" t="s">
        <v>459</v>
      </c>
      <c r="C4000" s="337">
        <v>38881</v>
      </c>
      <c r="D4000" s="338" t="s">
        <v>2345</v>
      </c>
      <c r="E4000" s="336" t="s">
        <v>2344</v>
      </c>
      <c r="F4000" s="338"/>
      <c r="G4000" s="338">
        <v>20.3</v>
      </c>
      <c r="H4000" s="338" t="s">
        <v>425</v>
      </c>
      <c r="I4000" s="338" t="s">
        <v>411</v>
      </c>
      <c r="J4000" s="339"/>
      <c r="K4000" s="339"/>
      <c r="L4000" s="339" t="s">
        <v>409</v>
      </c>
      <c r="M4000" s="339" t="s">
        <v>409</v>
      </c>
      <c r="N4000" s="338" t="s">
        <v>432</v>
      </c>
      <c r="O4000" s="338" t="s">
        <v>409</v>
      </c>
      <c r="P4000" s="338"/>
    </row>
    <row r="4001" spans="2:16" x14ac:dyDescent="0.25">
      <c r="B4001" s="336" t="s">
        <v>416</v>
      </c>
      <c r="C4001" s="337">
        <v>38881</v>
      </c>
      <c r="D4001" s="338" t="s">
        <v>2343</v>
      </c>
      <c r="E4001" s="336" t="s">
        <v>2342</v>
      </c>
      <c r="F4001" s="338" t="s">
        <v>2341</v>
      </c>
      <c r="G4001" s="338">
        <v>2</v>
      </c>
      <c r="H4001" s="338" t="s">
        <v>425</v>
      </c>
      <c r="I4001" s="338" t="s">
        <v>411</v>
      </c>
      <c r="J4001" s="339"/>
      <c r="K4001" s="339"/>
      <c r="L4001" s="339">
        <v>1.59307</v>
      </c>
      <c r="M4001" s="339">
        <v>6.7867499999999996</v>
      </c>
      <c r="N4001" s="338"/>
      <c r="O4001" s="338" t="s">
        <v>417</v>
      </c>
      <c r="P4001" s="338" t="s">
        <v>417</v>
      </c>
    </row>
    <row r="4002" spans="2:16" x14ac:dyDescent="0.25">
      <c r="B4002" s="336" t="s">
        <v>416</v>
      </c>
      <c r="C4002" s="337">
        <v>38881</v>
      </c>
      <c r="D4002" s="338" t="s">
        <v>2340</v>
      </c>
      <c r="E4002" s="336" t="s">
        <v>1600</v>
      </c>
      <c r="F4002" s="338"/>
      <c r="G4002" s="338">
        <v>95.7</v>
      </c>
      <c r="H4002" s="338" t="s">
        <v>425</v>
      </c>
      <c r="I4002" s="338" t="s">
        <v>411</v>
      </c>
      <c r="J4002" s="339"/>
      <c r="K4002" s="339"/>
      <c r="L4002" s="339" t="s">
        <v>409</v>
      </c>
      <c r="M4002" s="339" t="s">
        <v>409</v>
      </c>
      <c r="N4002" s="338"/>
      <c r="O4002" s="338" t="s">
        <v>409</v>
      </c>
      <c r="P4002" s="338" t="s">
        <v>443</v>
      </c>
    </row>
    <row r="4003" spans="2:16" x14ac:dyDescent="0.25">
      <c r="B4003" s="336" t="s">
        <v>416</v>
      </c>
      <c r="C4003" s="337">
        <v>38881</v>
      </c>
      <c r="D4003" s="338" t="s">
        <v>956</v>
      </c>
      <c r="E4003" s="336" t="s">
        <v>2339</v>
      </c>
      <c r="F4003" s="338" t="s">
        <v>2338</v>
      </c>
      <c r="G4003" s="338">
        <v>1.88</v>
      </c>
      <c r="H4003" s="338" t="s">
        <v>425</v>
      </c>
      <c r="I4003" s="338" t="s">
        <v>411</v>
      </c>
      <c r="J4003" s="339"/>
      <c r="K4003" s="339"/>
      <c r="L4003" s="339"/>
      <c r="M4003" s="339"/>
      <c r="N4003" s="338"/>
      <c r="O4003" s="338" t="s">
        <v>410</v>
      </c>
      <c r="P4003" s="338" t="s">
        <v>487</v>
      </c>
    </row>
    <row r="4004" spans="2:16" x14ac:dyDescent="0.25">
      <c r="B4004" s="336" t="s">
        <v>416</v>
      </c>
      <c r="C4004" s="337">
        <v>38880</v>
      </c>
      <c r="D4004" s="338" t="s">
        <v>2337</v>
      </c>
      <c r="E4004" s="336" t="s">
        <v>441</v>
      </c>
      <c r="F4004" s="338" t="s">
        <v>2336</v>
      </c>
      <c r="G4004" s="338" t="s">
        <v>413</v>
      </c>
      <c r="H4004" s="338" t="s">
        <v>425</v>
      </c>
      <c r="I4004" s="338" t="s">
        <v>411</v>
      </c>
      <c r="J4004" s="339"/>
      <c r="K4004" s="339"/>
      <c r="L4004" s="339"/>
      <c r="M4004" s="339"/>
      <c r="N4004" s="338"/>
      <c r="O4004" s="338" t="s">
        <v>417</v>
      </c>
      <c r="P4004" s="338" t="s">
        <v>417</v>
      </c>
    </row>
    <row r="4005" spans="2:16" x14ac:dyDescent="0.25">
      <c r="B4005" s="336" t="s">
        <v>416</v>
      </c>
      <c r="C4005" s="337">
        <v>38880</v>
      </c>
      <c r="D4005" s="338" t="s">
        <v>2335</v>
      </c>
      <c r="E4005" s="336" t="s">
        <v>2334</v>
      </c>
      <c r="F4005" s="338"/>
      <c r="G4005" s="338">
        <v>10</v>
      </c>
      <c r="H4005" s="338" t="s">
        <v>425</v>
      </c>
      <c r="I4005" s="338" t="s">
        <v>411</v>
      </c>
      <c r="J4005" s="339"/>
      <c r="K4005" s="339"/>
      <c r="L4005" s="339" t="s">
        <v>409</v>
      </c>
      <c r="M4005" s="339" t="s">
        <v>409</v>
      </c>
      <c r="N4005" s="338" t="s">
        <v>417</v>
      </c>
      <c r="O4005" s="338" t="s">
        <v>409</v>
      </c>
      <c r="P4005" s="338" t="s">
        <v>417</v>
      </c>
    </row>
    <row r="4006" spans="2:16" x14ac:dyDescent="0.25">
      <c r="B4006" s="336" t="s">
        <v>416</v>
      </c>
      <c r="C4006" s="337">
        <v>38880</v>
      </c>
      <c r="D4006" s="338" t="s">
        <v>2333</v>
      </c>
      <c r="E4006" s="336" t="s">
        <v>2332</v>
      </c>
      <c r="F4006" s="338"/>
      <c r="G4006" s="338" t="s">
        <v>413</v>
      </c>
      <c r="H4006" s="338" t="s">
        <v>412</v>
      </c>
      <c r="I4006" s="338" t="s">
        <v>411</v>
      </c>
      <c r="J4006" s="339"/>
      <c r="K4006" s="339"/>
      <c r="L4006" s="339" t="s">
        <v>409</v>
      </c>
      <c r="M4006" s="339" t="s">
        <v>409</v>
      </c>
      <c r="N4006" s="338" t="s">
        <v>417</v>
      </c>
      <c r="O4006" s="338" t="s">
        <v>409</v>
      </c>
      <c r="P4006" s="338" t="s">
        <v>417</v>
      </c>
    </row>
    <row r="4007" spans="2:16" x14ac:dyDescent="0.25">
      <c r="B4007" s="336" t="s">
        <v>416</v>
      </c>
      <c r="C4007" s="337">
        <v>38880</v>
      </c>
      <c r="D4007" s="338" t="s">
        <v>2331</v>
      </c>
      <c r="E4007" s="336" t="s">
        <v>2330</v>
      </c>
      <c r="F4007" s="338" t="s">
        <v>2329</v>
      </c>
      <c r="G4007" s="338">
        <v>132</v>
      </c>
      <c r="H4007" s="338" t="s">
        <v>425</v>
      </c>
      <c r="I4007" s="338" t="s">
        <v>411</v>
      </c>
      <c r="J4007" s="339"/>
      <c r="K4007" s="339"/>
      <c r="L4007" s="339">
        <v>1.83534</v>
      </c>
      <c r="M4007" s="339">
        <v>6.0517300000000001</v>
      </c>
      <c r="N4007" s="338"/>
      <c r="O4007" s="338" t="s">
        <v>432</v>
      </c>
      <c r="P4007" s="338" t="s">
        <v>432</v>
      </c>
    </row>
    <row r="4008" spans="2:16" x14ac:dyDescent="0.25">
      <c r="B4008" s="336" t="s">
        <v>416</v>
      </c>
      <c r="C4008" s="337">
        <v>38876</v>
      </c>
      <c r="D4008" s="338" t="s">
        <v>2328</v>
      </c>
      <c r="E4008" s="336" t="s">
        <v>2327</v>
      </c>
      <c r="F4008" s="338" t="s">
        <v>2326</v>
      </c>
      <c r="G4008" s="338" t="s">
        <v>413</v>
      </c>
      <c r="H4008" s="338" t="s">
        <v>425</v>
      </c>
      <c r="I4008" s="338" t="s">
        <v>411</v>
      </c>
      <c r="J4008" s="339"/>
      <c r="K4008" s="339"/>
      <c r="L4008" s="339"/>
      <c r="M4008" s="339"/>
      <c r="N4008" s="338"/>
      <c r="O4008" s="338" t="s">
        <v>432</v>
      </c>
      <c r="P4008" s="338" t="s">
        <v>417</v>
      </c>
    </row>
    <row r="4009" spans="2:16" x14ac:dyDescent="0.25">
      <c r="B4009" s="336" t="s">
        <v>416</v>
      </c>
      <c r="C4009" s="337">
        <v>38874</v>
      </c>
      <c r="D4009" s="338" t="s">
        <v>2325</v>
      </c>
      <c r="E4009" s="336" t="s">
        <v>2324</v>
      </c>
      <c r="F4009" s="338" t="s">
        <v>2323</v>
      </c>
      <c r="G4009" s="338">
        <v>15.87</v>
      </c>
      <c r="H4009" s="338" t="s">
        <v>425</v>
      </c>
      <c r="I4009" s="338" t="s">
        <v>411</v>
      </c>
      <c r="J4009" s="339"/>
      <c r="K4009" s="339"/>
      <c r="L4009" s="339"/>
      <c r="M4009" s="339"/>
      <c r="N4009" s="338"/>
      <c r="O4009" s="338" t="s">
        <v>543</v>
      </c>
      <c r="P4009" s="338" t="s">
        <v>417</v>
      </c>
    </row>
    <row r="4010" spans="2:16" x14ac:dyDescent="0.25">
      <c r="B4010" s="336" t="s">
        <v>416</v>
      </c>
      <c r="C4010" s="337">
        <v>38874</v>
      </c>
      <c r="D4010" s="338" t="s">
        <v>2322</v>
      </c>
      <c r="E4010" s="336" t="s">
        <v>2321</v>
      </c>
      <c r="F4010" s="338" t="s">
        <v>2320</v>
      </c>
      <c r="G4010" s="338">
        <v>11</v>
      </c>
      <c r="H4010" s="338" t="s">
        <v>780</v>
      </c>
      <c r="I4010" s="338" t="s">
        <v>411</v>
      </c>
      <c r="J4010" s="339"/>
      <c r="K4010" s="339"/>
      <c r="L4010" s="339"/>
      <c r="M4010" s="339"/>
      <c r="N4010" s="338"/>
      <c r="O4010" s="338" t="s">
        <v>410</v>
      </c>
      <c r="P4010" s="338" t="s">
        <v>432</v>
      </c>
    </row>
    <row r="4011" spans="2:16" x14ac:dyDescent="0.25">
      <c r="B4011" s="336" t="s">
        <v>459</v>
      </c>
      <c r="C4011" s="337">
        <v>38874</v>
      </c>
      <c r="D4011" s="338" t="s">
        <v>2319</v>
      </c>
      <c r="E4011" s="336" t="s">
        <v>2318</v>
      </c>
      <c r="F4011" s="338"/>
      <c r="G4011" s="338" t="s">
        <v>413</v>
      </c>
      <c r="H4011" s="338" t="s">
        <v>425</v>
      </c>
      <c r="I4011" s="338" t="s">
        <v>411</v>
      </c>
      <c r="J4011" s="339">
        <v>5.0816199999999999E-2</v>
      </c>
      <c r="K4011" s="339"/>
      <c r="L4011" s="339" t="s">
        <v>409</v>
      </c>
      <c r="M4011" s="339" t="s">
        <v>409</v>
      </c>
      <c r="N4011" s="338" t="s">
        <v>417</v>
      </c>
      <c r="O4011" s="338" t="s">
        <v>409</v>
      </c>
      <c r="P4011" s="338" t="s">
        <v>443</v>
      </c>
    </row>
    <row r="4012" spans="2:16" x14ac:dyDescent="0.25">
      <c r="B4012" s="336" t="s">
        <v>416</v>
      </c>
      <c r="C4012" s="337">
        <v>38873</v>
      </c>
      <c r="D4012" s="338" t="s">
        <v>2317</v>
      </c>
      <c r="E4012" s="336" t="s">
        <v>1619</v>
      </c>
      <c r="F4012" s="338"/>
      <c r="G4012" s="338" t="s">
        <v>413</v>
      </c>
      <c r="H4012" s="338" t="s">
        <v>412</v>
      </c>
      <c r="I4012" s="338" t="s">
        <v>411</v>
      </c>
      <c r="J4012" s="339"/>
      <c r="K4012" s="339"/>
      <c r="L4012" s="339" t="s">
        <v>409</v>
      </c>
      <c r="M4012" s="339" t="s">
        <v>409</v>
      </c>
      <c r="N4012" s="338" t="s">
        <v>417</v>
      </c>
      <c r="O4012" s="338" t="s">
        <v>409</v>
      </c>
      <c r="P4012" s="338" t="s">
        <v>417</v>
      </c>
    </row>
    <row r="4013" spans="2:16" x14ac:dyDescent="0.25">
      <c r="B4013" s="336" t="s">
        <v>416</v>
      </c>
      <c r="C4013" s="337">
        <v>38873</v>
      </c>
      <c r="D4013" s="338" t="s">
        <v>2316</v>
      </c>
      <c r="E4013" s="336" t="s">
        <v>1924</v>
      </c>
      <c r="F4013" s="338"/>
      <c r="G4013" s="338" t="s">
        <v>413</v>
      </c>
      <c r="H4013" s="338" t="s">
        <v>412</v>
      </c>
      <c r="I4013" s="338" t="s">
        <v>411</v>
      </c>
      <c r="J4013" s="339"/>
      <c r="K4013" s="339"/>
      <c r="L4013" s="339" t="s">
        <v>409</v>
      </c>
      <c r="M4013" s="339" t="s">
        <v>409</v>
      </c>
      <c r="N4013" s="338" t="s">
        <v>417</v>
      </c>
      <c r="O4013" s="338" t="s">
        <v>409</v>
      </c>
      <c r="P4013" s="338" t="s">
        <v>432</v>
      </c>
    </row>
    <row r="4014" spans="2:16" x14ac:dyDescent="0.25">
      <c r="B4014" s="336" t="s">
        <v>416</v>
      </c>
      <c r="C4014" s="337">
        <v>38873</v>
      </c>
      <c r="D4014" s="338" t="s">
        <v>2315</v>
      </c>
      <c r="E4014" s="336" t="s">
        <v>1071</v>
      </c>
      <c r="F4014" s="338" t="s">
        <v>980</v>
      </c>
      <c r="G4014" s="338" t="s">
        <v>413</v>
      </c>
      <c r="H4014" s="338" t="s">
        <v>425</v>
      </c>
      <c r="I4014" s="338" t="s">
        <v>411</v>
      </c>
      <c r="J4014" s="339"/>
      <c r="K4014" s="339"/>
      <c r="L4014" s="339">
        <v>0.87109899999999996</v>
      </c>
      <c r="M4014" s="339">
        <v>6.4264900000000003</v>
      </c>
      <c r="N4014" s="338"/>
      <c r="O4014" s="338" t="s">
        <v>417</v>
      </c>
      <c r="P4014" s="338" t="s">
        <v>443</v>
      </c>
    </row>
    <row r="4015" spans="2:16" x14ac:dyDescent="0.25">
      <c r="B4015" s="336" t="s">
        <v>416</v>
      </c>
      <c r="C4015" s="337">
        <v>38873</v>
      </c>
      <c r="D4015" s="338" t="s">
        <v>2314</v>
      </c>
      <c r="E4015" s="336" t="s">
        <v>2313</v>
      </c>
      <c r="F4015" s="338"/>
      <c r="G4015" s="338" t="s">
        <v>413</v>
      </c>
      <c r="H4015" s="338" t="s">
        <v>425</v>
      </c>
      <c r="I4015" s="338" t="s">
        <v>411</v>
      </c>
      <c r="J4015" s="339"/>
      <c r="K4015" s="339"/>
      <c r="L4015" s="339" t="s">
        <v>409</v>
      </c>
      <c r="M4015" s="339" t="s">
        <v>409</v>
      </c>
      <c r="N4015" s="338" t="s">
        <v>417</v>
      </c>
      <c r="O4015" s="338" t="s">
        <v>409</v>
      </c>
      <c r="P4015" s="338"/>
    </row>
    <row r="4016" spans="2:16" x14ac:dyDescent="0.25">
      <c r="B4016" s="336" t="s">
        <v>459</v>
      </c>
      <c r="C4016" s="337">
        <v>38870</v>
      </c>
      <c r="D4016" s="338" t="s">
        <v>2312</v>
      </c>
      <c r="E4016" s="336" t="s">
        <v>2311</v>
      </c>
      <c r="F4016" s="338"/>
      <c r="G4016" s="338" t="s">
        <v>413</v>
      </c>
      <c r="H4016" s="338" t="s">
        <v>425</v>
      </c>
      <c r="I4016" s="338" t="s">
        <v>411</v>
      </c>
      <c r="J4016" s="339"/>
      <c r="K4016" s="339"/>
      <c r="L4016" s="339" t="s">
        <v>409</v>
      </c>
      <c r="M4016" s="339" t="s">
        <v>409</v>
      </c>
      <c r="N4016" s="338" t="s">
        <v>487</v>
      </c>
      <c r="O4016" s="338" t="s">
        <v>409</v>
      </c>
      <c r="P4016" s="338" t="s">
        <v>443</v>
      </c>
    </row>
    <row r="4017" spans="2:16" x14ac:dyDescent="0.25">
      <c r="B4017" s="336" t="s">
        <v>416</v>
      </c>
      <c r="C4017" s="337">
        <v>38869</v>
      </c>
      <c r="D4017" s="338" t="s">
        <v>2310</v>
      </c>
      <c r="E4017" s="336" t="s">
        <v>1617</v>
      </c>
      <c r="F4017" s="338"/>
      <c r="G4017" s="338" t="s">
        <v>413</v>
      </c>
      <c r="H4017" s="338" t="s">
        <v>425</v>
      </c>
      <c r="I4017" s="338" t="s">
        <v>411</v>
      </c>
      <c r="J4017" s="339"/>
      <c r="K4017" s="339"/>
      <c r="L4017" s="339" t="s">
        <v>409</v>
      </c>
      <c r="M4017" s="339" t="s">
        <v>409</v>
      </c>
      <c r="N4017" s="338"/>
      <c r="O4017" s="338" t="s">
        <v>409</v>
      </c>
      <c r="P4017" s="338" t="s">
        <v>417</v>
      </c>
    </row>
    <row r="4018" spans="2:16" x14ac:dyDescent="0.25">
      <c r="B4018" s="336" t="s">
        <v>416</v>
      </c>
      <c r="C4018" s="337">
        <v>38869</v>
      </c>
      <c r="D4018" s="338" t="s">
        <v>2309</v>
      </c>
      <c r="E4018" s="336" t="s">
        <v>2308</v>
      </c>
      <c r="F4018" s="338"/>
      <c r="G4018" s="338" t="s">
        <v>413</v>
      </c>
      <c r="H4018" s="338" t="s">
        <v>429</v>
      </c>
      <c r="I4018" s="338" t="s">
        <v>411</v>
      </c>
      <c r="J4018" s="339"/>
      <c r="K4018" s="339"/>
      <c r="L4018" s="339" t="s">
        <v>409</v>
      </c>
      <c r="M4018" s="339" t="s">
        <v>409</v>
      </c>
      <c r="N4018" s="338"/>
      <c r="O4018" s="338" t="s">
        <v>409</v>
      </c>
      <c r="P4018" s="338" t="s">
        <v>417</v>
      </c>
    </row>
    <row r="4019" spans="2:16" x14ac:dyDescent="0.25">
      <c r="B4019" s="336" t="s">
        <v>416</v>
      </c>
      <c r="C4019" s="337">
        <v>38869</v>
      </c>
      <c r="D4019" s="338" t="s">
        <v>2307</v>
      </c>
      <c r="E4019" s="336" t="s">
        <v>2306</v>
      </c>
      <c r="F4019" s="338"/>
      <c r="G4019" s="338" t="s">
        <v>413</v>
      </c>
      <c r="H4019" s="338" t="s">
        <v>412</v>
      </c>
      <c r="I4019" s="338" t="s">
        <v>411</v>
      </c>
      <c r="J4019" s="339"/>
      <c r="K4019" s="339"/>
      <c r="L4019" s="339" t="s">
        <v>409</v>
      </c>
      <c r="M4019" s="339" t="s">
        <v>409</v>
      </c>
      <c r="N4019" s="338" t="s">
        <v>417</v>
      </c>
      <c r="O4019" s="338" t="s">
        <v>409</v>
      </c>
      <c r="P4019" s="338" t="s">
        <v>487</v>
      </c>
    </row>
    <row r="4020" spans="2:16" x14ac:dyDescent="0.25">
      <c r="B4020" s="336" t="s">
        <v>416</v>
      </c>
      <c r="C4020" s="337">
        <v>38869</v>
      </c>
      <c r="D4020" s="338" t="s">
        <v>2305</v>
      </c>
      <c r="E4020" s="336" t="s">
        <v>1391</v>
      </c>
      <c r="F4020" s="338"/>
      <c r="G4020" s="338" t="s">
        <v>413</v>
      </c>
      <c r="H4020" s="338" t="s">
        <v>412</v>
      </c>
      <c r="I4020" s="338" t="s">
        <v>411</v>
      </c>
      <c r="J4020" s="339"/>
      <c r="K4020" s="339"/>
      <c r="L4020" s="339" t="s">
        <v>409</v>
      </c>
      <c r="M4020" s="339" t="s">
        <v>409</v>
      </c>
      <c r="N4020" s="338" t="s">
        <v>417</v>
      </c>
      <c r="O4020" s="338" t="s">
        <v>409</v>
      </c>
      <c r="P4020" s="338" t="s">
        <v>417</v>
      </c>
    </row>
    <row r="4021" spans="2:16" x14ac:dyDescent="0.25">
      <c r="B4021" s="336" t="s">
        <v>416</v>
      </c>
      <c r="C4021" s="337">
        <v>38868</v>
      </c>
      <c r="D4021" s="338" t="s">
        <v>2304</v>
      </c>
      <c r="E4021" s="336" t="s">
        <v>2303</v>
      </c>
      <c r="F4021" s="338"/>
      <c r="G4021" s="338">
        <v>152.5</v>
      </c>
      <c r="H4021" s="338" t="s">
        <v>425</v>
      </c>
      <c r="I4021" s="338" t="s">
        <v>411</v>
      </c>
      <c r="J4021" s="339"/>
      <c r="K4021" s="339"/>
      <c r="L4021" s="339" t="s">
        <v>409</v>
      </c>
      <c r="M4021" s="339" t="s">
        <v>409</v>
      </c>
      <c r="N4021" s="338"/>
      <c r="O4021" s="338" t="s">
        <v>409</v>
      </c>
      <c r="P4021" s="338" t="s">
        <v>417</v>
      </c>
    </row>
    <row r="4022" spans="2:16" x14ac:dyDescent="0.25">
      <c r="B4022" s="336" t="s">
        <v>416</v>
      </c>
      <c r="C4022" s="337">
        <v>38868</v>
      </c>
      <c r="D4022" s="338" t="s">
        <v>2302</v>
      </c>
      <c r="E4022" s="336" t="s">
        <v>2301</v>
      </c>
      <c r="F4022" s="338"/>
      <c r="G4022" s="338" t="s">
        <v>413</v>
      </c>
      <c r="H4022" s="338" t="s">
        <v>425</v>
      </c>
      <c r="I4022" s="338" t="s">
        <v>411</v>
      </c>
      <c r="J4022" s="339"/>
      <c r="K4022" s="339"/>
      <c r="L4022" s="339" t="s">
        <v>409</v>
      </c>
      <c r="M4022" s="339" t="s">
        <v>409</v>
      </c>
      <c r="N4022" s="338" t="s">
        <v>417</v>
      </c>
      <c r="O4022" s="338" t="s">
        <v>409</v>
      </c>
      <c r="P4022" s="338"/>
    </row>
    <row r="4023" spans="2:16" x14ac:dyDescent="0.25">
      <c r="B4023" s="336" t="s">
        <v>416</v>
      </c>
      <c r="C4023" s="337">
        <v>38868</v>
      </c>
      <c r="D4023" s="338" t="s">
        <v>2300</v>
      </c>
      <c r="E4023" s="336" t="s">
        <v>831</v>
      </c>
      <c r="F4023" s="338"/>
      <c r="G4023" s="338" t="s">
        <v>413</v>
      </c>
      <c r="H4023" s="338" t="s">
        <v>425</v>
      </c>
      <c r="I4023" s="338" t="s">
        <v>411</v>
      </c>
      <c r="J4023" s="339"/>
      <c r="K4023" s="339"/>
      <c r="L4023" s="339" t="s">
        <v>409</v>
      </c>
      <c r="M4023" s="339" t="s">
        <v>409</v>
      </c>
      <c r="N4023" s="338" t="s">
        <v>417</v>
      </c>
      <c r="O4023" s="338" t="s">
        <v>409</v>
      </c>
      <c r="P4023" s="338" t="s">
        <v>417</v>
      </c>
    </row>
    <row r="4024" spans="2:16" x14ac:dyDescent="0.25">
      <c r="B4024" s="336" t="s">
        <v>459</v>
      </c>
      <c r="C4024" s="337">
        <v>38868</v>
      </c>
      <c r="D4024" s="338" t="s">
        <v>2299</v>
      </c>
      <c r="E4024" s="336" t="s">
        <v>2298</v>
      </c>
      <c r="F4024" s="338"/>
      <c r="G4024" s="338" t="s">
        <v>413</v>
      </c>
      <c r="H4024" s="338" t="s">
        <v>425</v>
      </c>
      <c r="I4024" s="338" t="s">
        <v>411</v>
      </c>
      <c r="J4024" s="339"/>
      <c r="K4024" s="339"/>
      <c r="L4024" s="339" t="s">
        <v>409</v>
      </c>
      <c r="M4024" s="339" t="s">
        <v>409</v>
      </c>
      <c r="N4024" s="338" t="s">
        <v>417</v>
      </c>
      <c r="O4024" s="338" t="s">
        <v>409</v>
      </c>
      <c r="P4024" s="338" t="s">
        <v>443</v>
      </c>
    </row>
    <row r="4025" spans="2:16" x14ac:dyDescent="0.25">
      <c r="B4025" s="336" t="s">
        <v>416</v>
      </c>
      <c r="C4025" s="337">
        <v>38867</v>
      </c>
      <c r="D4025" s="338" t="s">
        <v>2297</v>
      </c>
      <c r="E4025" s="336" t="s">
        <v>468</v>
      </c>
      <c r="F4025" s="338" t="s">
        <v>2296</v>
      </c>
      <c r="G4025" s="338" t="s">
        <v>413</v>
      </c>
      <c r="H4025" s="338" t="s">
        <v>412</v>
      </c>
      <c r="I4025" s="338" t="s">
        <v>411</v>
      </c>
      <c r="J4025" s="339">
        <v>0.16968800000000001</v>
      </c>
      <c r="K4025" s="339"/>
      <c r="L4025" s="339"/>
      <c r="M4025" s="339"/>
      <c r="N4025" s="338" t="s">
        <v>417</v>
      </c>
      <c r="O4025" s="338" t="s">
        <v>543</v>
      </c>
      <c r="P4025" s="338" t="s">
        <v>443</v>
      </c>
    </row>
    <row r="4026" spans="2:16" x14ac:dyDescent="0.25">
      <c r="B4026" s="336" t="s">
        <v>416</v>
      </c>
      <c r="C4026" s="337">
        <v>38864</v>
      </c>
      <c r="D4026" s="338" t="s">
        <v>2295</v>
      </c>
      <c r="E4026" s="336" t="s">
        <v>1163</v>
      </c>
      <c r="F4026" s="338" t="s">
        <v>2294</v>
      </c>
      <c r="G4026" s="338" t="s">
        <v>413</v>
      </c>
      <c r="H4026" s="338" t="s">
        <v>425</v>
      </c>
      <c r="I4026" s="338" t="s">
        <v>411</v>
      </c>
      <c r="J4026" s="339"/>
      <c r="K4026" s="339"/>
      <c r="L4026" s="339"/>
      <c r="M4026" s="339"/>
      <c r="N4026" s="338"/>
      <c r="O4026" s="338" t="s">
        <v>417</v>
      </c>
      <c r="P4026" s="338" t="s">
        <v>417</v>
      </c>
    </row>
    <row r="4027" spans="2:16" x14ac:dyDescent="0.25">
      <c r="B4027" s="336" t="s">
        <v>416</v>
      </c>
      <c r="C4027" s="337">
        <v>38863</v>
      </c>
      <c r="D4027" s="338" t="s">
        <v>2293</v>
      </c>
      <c r="E4027" s="336" t="s">
        <v>2292</v>
      </c>
      <c r="F4027" s="338"/>
      <c r="G4027" s="338">
        <v>37.1</v>
      </c>
      <c r="H4027" s="338" t="s">
        <v>425</v>
      </c>
      <c r="I4027" s="338" t="s">
        <v>411</v>
      </c>
      <c r="J4027" s="339"/>
      <c r="K4027" s="339"/>
      <c r="L4027" s="339" t="s">
        <v>409</v>
      </c>
      <c r="M4027" s="339" t="s">
        <v>409</v>
      </c>
      <c r="N4027" s="338"/>
      <c r="O4027" s="338" t="s">
        <v>409</v>
      </c>
      <c r="P4027" s="338" t="s">
        <v>487</v>
      </c>
    </row>
    <row r="4028" spans="2:16" x14ac:dyDescent="0.25">
      <c r="B4028" s="336" t="s">
        <v>416</v>
      </c>
      <c r="C4028" s="337">
        <v>38863</v>
      </c>
      <c r="D4028" s="338" t="s">
        <v>2291</v>
      </c>
      <c r="E4028" s="336" t="s">
        <v>2290</v>
      </c>
      <c r="F4028" s="338"/>
      <c r="G4028" s="338" t="s">
        <v>413</v>
      </c>
      <c r="H4028" s="338" t="s">
        <v>412</v>
      </c>
      <c r="I4028" s="338" t="s">
        <v>411</v>
      </c>
      <c r="J4028" s="339"/>
      <c r="K4028" s="339"/>
      <c r="L4028" s="339" t="s">
        <v>409</v>
      </c>
      <c r="M4028" s="339" t="s">
        <v>409</v>
      </c>
      <c r="N4028" s="338" t="s">
        <v>410</v>
      </c>
      <c r="O4028" s="338" t="s">
        <v>409</v>
      </c>
      <c r="P4028" s="338" t="s">
        <v>417</v>
      </c>
    </row>
    <row r="4029" spans="2:16" x14ac:dyDescent="0.25">
      <c r="B4029" s="336" t="s">
        <v>416</v>
      </c>
      <c r="C4029" s="337">
        <v>38861</v>
      </c>
      <c r="D4029" s="338" t="s">
        <v>2289</v>
      </c>
      <c r="E4029" s="336" t="s">
        <v>2288</v>
      </c>
      <c r="F4029" s="338" t="s">
        <v>2287</v>
      </c>
      <c r="G4029" s="338" t="s">
        <v>413</v>
      </c>
      <c r="H4029" s="338" t="s">
        <v>425</v>
      </c>
      <c r="I4029" s="338" t="s">
        <v>411</v>
      </c>
      <c r="J4029" s="339"/>
      <c r="K4029" s="339"/>
      <c r="L4029" s="339"/>
      <c r="M4029" s="339"/>
      <c r="N4029" s="338"/>
      <c r="O4029" s="338" t="s">
        <v>417</v>
      </c>
      <c r="P4029" s="338" t="s">
        <v>417</v>
      </c>
    </row>
    <row r="4030" spans="2:16" x14ac:dyDescent="0.25">
      <c r="B4030" s="336" t="s">
        <v>416</v>
      </c>
      <c r="C4030" s="337">
        <v>38860</v>
      </c>
      <c r="D4030" s="338" t="s">
        <v>2286</v>
      </c>
      <c r="E4030" s="336" t="s">
        <v>2285</v>
      </c>
      <c r="F4030" s="338" t="s">
        <v>2284</v>
      </c>
      <c r="G4030" s="338">
        <v>0.2</v>
      </c>
      <c r="H4030" s="338" t="s">
        <v>425</v>
      </c>
      <c r="I4030" s="338" t="s">
        <v>411</v>
      </c>
      <c r="J4030" s="339"/>
      <c r="K4030" s="339"/>
      <c r="L4030" s="339"/>
      <c r="M4030" s="339"/>
      <c r="N4030" s="338"/>
      <c r="O4030" s="338" t="s">
        <v>410</v>
      </c>
      <c r="P4030" s="338" t="s">
        <v>410</v>
      </c>
    </row>
    <row r="4031" spans="2:16" x14ac:dyDescent="0.25">
      <c r="B4031" s="336" t="s">
        <v>416</v>
      </c>
      <c r="C4031" s="337">
        <v>38860</v>
      </c>
      <c r="D4031" s="338" t="s">
        <v>2283</v>
      </c>
      <c r="E4031" s="336" t="s">
        <v>2072</v>
      </c>
      <c r="F4031" s="338"/>
      <c r="G4031" s="338" t="s">
        <v>413</v>
      </c>
      <c r="H4031" s="338" t="s">
        <v>412</v>
      </c>
      <c r="I4031" s="338" t="s">
        <v>411</v>
      </c>
      <c r="J4031" s="339"/>
      <c r="K4031" s="339"/>
      <c r="L4031" s="339" t="s">
        <v>409</v>
      </c>
      <c r="M4031" s="339" t="s">
        <v>409</v>
      </c>
      <c r="N4031" s="338" t="s">
        <v>417</v>
      </c>
      <c r="O4031" s="338" t="s">
        <v>409</v>
      </c>
      <c r="P4031" s="338" t="s">
        <v>417</v>
      </c>
    </row>
    <row r="4032" spans="2:16" x14ac:dyDescent="0.25">
      <c r="B4032" s="336" t="s">
        <v>416</v>
      </c>
      <c r="C4032" s="337">
        <v>38860</v>
      </c>
      <c r="D4032" s="338" t="s">
        <v>2282</v>
      </c>
      <c r="E4032" s="336" t="s">
        <v>2281</v>
      </c>
      <c r="F4032" s="338" t="s">
        <v>980</v>
      </c>
      <c r="G4032" s="338" t="s">
        <v>413</v>
      </c>
      <c r="H4032" s="338" t="s">
        <v>425</v>
      </c>
      <c r="I4032" s="338" t="s">
        <v>411</v>
      </c>
      <c r="J4032" s="339"/>
      <c r="K4032" s="339"/>
      <c r="L4032" s="339">
        <v>0.87109899999999996</v>
      </c>
      <c r="M4032" s="339">
        <v>6.4264900000000003</v>
      </c>
      <c r="N4032" s="338"/>
      <c r="O4032" s="338" t="s">
        <v>417</v>
      </c>
      <c r="P4032" s="338" t="s">
        <v>443</v>
      </c>
    </row>
    <row r="4033" spans="2:16" x14ac:dyDescent="0.25">
      <c r="B4033" s="336" t="s">
        <v>416</v>
      </c>
      <c r="C4033" s="337">
        <v>38859</v>
      </c>
      <c r="D4033" s="338" t="s">
        <v>2280</v>
      </c>
      <c r="E4033" s="336" t="s">
        <v>2279</v>
      </c>
      <c r="F4033" s="338" t="s">
        <v>2278</v>
      </c>
      <c r="G4033" s="338">
        <v>15.74</v>
      </c>
      <c r="H4033" s="338" t="s">
        <v>336</v>
      </c>
      <c r="I4033" s="338" t="s">
        <v>411</v>
      </c>
      <c r="J4033" s="339"/>
      <c r="K4033" s="339"/>
      <c r="L4033" s="339"/>
      <c r="M4033" s="339"/>
      <c r="N4033" s="338"/>
      <c r="O4033" s="338" t="s">
        <v>417</v>
      </c>
      <c r="P4033" s="338" t="s">
        <v>432</v>
      </c>
    </row>
    <row r="4034" spans="2:16" x14ac:dyDescent="0.25">
      <c r="B4034" s="336" t="s">
        <v>416</v>
      </c>
      <c r="C4034" s="337">
        <v>38859</v>
      </c>
      <c r="D4034" s="338" t="s">
        <v>2277</v>
      </c>
      <c r="E4034" s="336" t="s">
        <v>2276</v>
      </c>
      <c r="F4034" s="338"/>
      <c r="G4034" s="338">
        <v>143.24</v>
      </c>
      <c r="H4034" s="338" t="s">
        <v>425</v>
      </c>
      <c r="I4034" s="338" t="s">
        <v>411</v>
      </c>
      <c r="J4034" s="339">
        <v>0.44951400000000002</v>
      </c>
      <c r="K4034" s="339">
        <v>6.5357200000000004</v>
      </c>
      <c r="L4034" s="339" t="s">
        <v>409</v>
      </c>
      <c r="M4034" s="339" t="s">
        <v>409</v>
      </c>
      <c r="N4034" s="338" t="s">
        <v>417</v>
      </c>
      <c r="O4034" s="338" t="s">
        <v>409</v>
      </c>
      <c r="P4034" s="338" t="s">
        <v>417</v>
      </c>
    </row>
    <row r="4035" spans="2:16" x14ac:dyDescent="0.25">
      <c r="B4035" s="336" t="s">
        <v>416</v>
      </c>
      <c r="C4035" s="337">
        <v>38859</v>
      </c>
      <c r="D4035" s="338" t="s">
        <v>2275</v>
      </c>
      <c r="E4035" s="336" t="s">
        <v>928</v>
      </c>
      <c r="F4035" s="338"/>
      <c r="G4035" s="338" t="s">
        <v>413</v>
      </c>
      <c r="H4035" s="338" t="s">
        <v>425</v>
      </c>
      <c r="I4035" s="338" t="s">
        <v>411</v>
      </c>
      <c r="J4035" s="339"/>
      <c r="K4035" s="339"/>
      <c r="L4035" s="339" t="s">
        <v>409</v>
      </c>
      <c r="M4035" s="339" t="s">
        <v>409</v>
      </c>
      <c r="N4035" s="338" t="s">
        <v>417</v>
      </c>
      <c r="O4035" s="338" t="s">
        <v>409</v>
      </c>
      <c r="P4035" s="338" t="s">
        <v>417</v>
      </c>
    </row>
    <row r="4036" spans="2:16" x14ac:dyDescent="0.25">
      <c r="B4036" s="336" t="s">
        <v>416</v>
      </c>
      <c r="C4036" s="337">
        <v>38859</v>
      </c>
      <c r="D4036" s="338" t="s">
        <v>2274</v>
      </c>
      <c r="E4036" s="336" t="s">
        <v>2273</v>
      </c>
      <c r="F4036" s="338" t="s">
        <v>1283</v>
      </c>
      <c r="G4036" s="338">
        <v>1240</v>
      </c>
      <c r="H4036" s="338" t="s">
        <v>425</v>
      </c>
      <c r="I4036" s="338" t="s">
        <v>411</v>
      </c>
      <c r="J4036" s="339"/>
      <c r="K4036" s="339"/>
      <c r="L4036" s="339">
        <v>2.8806600000000002</v>
      </c>
      <c r="M4036" s="339">
        <v>11.8482</v>
      </c>
      <c r="N4036" s="338" t="s">
        <v>417</v>
      </c>
      <c r="O4036" s="338" t="s">
        <v>432</v>
      </c>
      <c r="P4036" s="338" t="s">
        <v>417</v>
      </c>
    </row>
    <row r="4037" spans="2:16" x14ac:dyDescent="0.25">
      <c r="B4037" s="336" t="s">
        <v>416</v>
      </c>
      <c r="C4037" s="337">
        <v>38857</v>
      </c>
      <c r="D4037" s="338" t="s">
        <v>2272</v>
      </c>
      <c r="E4037" s="336" t="s">
        <v>2271</v>
      </c>
      <c r="F4037" s="338" t="s">
        <v>2049</v>
      </c>
      <c r="G4037" s="338">
        <v>300</v>
      </c>
      <c r="H4037" s="338" t="s">
        <v>425</v>
      </c>
      <c r="I4037" s="338" t="s">
        <v>411</v>
      </c>
      <c r="J4037" s="339">
        <v>0.37451699999999999</v>
      </c>
      <c r="K4037" s="339">
        <v>5.1486000000000001</v>
      </c>
      <c r="L4037" s="339"/>
      <c r="M4037" s="339"/>
      <c r="N4037" s="338" t="s">
        <v>417</v>
      </c>
      <c r="O4037" s="338" t="s">
        <v>443</v>
      </c>
      <c r="P4037" s="338" t="s">
        <v>443</v>
      </c>
    </row>
    <row r="4038" spans="2:16" x14ac:dyDescent="0.25">
      <c r="B4038" s="336" t="s">
        <v>416</v>
      </c>
      <c r="C4038" s="337">
        <v>38854</v>
      </c>
      <c r="D4038" s="338" t="s">
        <v>2270</v>
      </c>
      <c r="E4038" s="336" t="s">
        <v>2269</v>
      </c>
      <c r="F4038" s="338"/>
      <c r="G4038" s="338" t="s">
        <v>413</v>
      </c>
      <c r="H4038" s="338" t="s">
        <v>412</v>
      </c>
      <c r="I4038" s="338" t="s">
        <v>411</v>
      </c>
      <c r="J4038" s="339"/>
      <c r="K4038" s="339"/>
      <c r="L4038" s="339" t="s">
        <v>409</v>
      </c>
      <c r="M4038" s="339" t="s">
        <v>409</v>
      </c>
      <c r="N4038" s="338" t="s">
        <v>417</v>
      </c>
      <c r="O4038" s="338" t="s">
        <v>409</v>
      </c>
      <c r="P4038" s="338" t="s">
        <v>417</v>
      </c>
    </row>
    <row r="4039" spans="2:16" x14ac:dyDescent="0.25">
      <c r="B4039" s="336" t="s">
        <v>416</v>
      </c>
      <c r="C4039" s="337">
        <v>38854</v>
      </c>
      <c r="D4039" s="338" t="s">
        <v>2268</v>
      </c>
      <c r="E4039" s="336" t="s">
        <v>2267</v>
      </c>
      <c r="F4039" s="338"/>
      <c r="G4039" s="338">
        <v>136.88999999999999</v>
      </c>
      <c r="H4039" s="338" t="s">
        <v>425</v>
      </c>
      <c r="I4039" s="338" t="s">
        <v>411</v>
      </c>
      <c r="J4039" s="339">
        <v>1.36138</v>
      </c>
      <c r="K4039" s="339">
        <v>9.2132000000000005</v>
      </c>
      <c r="L4039" s="339" t="s">
        <v>409</v>
      </c>
      <c r="M4039" s="339" t="s">
        <v>409</v>
      </c>
      <c r="N4039" s="338" t="s">
        <v>417</v>
      </c>
      <c r="O4039" s="338" t="s">
        <v>409</v>
      </c>
      <c r="P4039" s="338" t="s">
        <v>417</v>
      </c>
    </row>
    <row r="4040" spans="2:16" x14ac:dyDescent="0.25">
      <c r="B4040" s="336" t="s">
        <v>416</v>
      </c>
      <c r="C4040" s="337">
        <v>38854</v>
      </c>
      <c r="D4040" s="338" t="s">
        <v>552</v>
      </c>
      <c r="E4040" s="336" t="s">
        <v>2266</v>
      </c>
      <c r="F4040" s="338" t="s">
        <v>2265</v>
      </c>
      <c r="G4040" s="338" t="s">
        <v>413</v>
      </c>
      <c r="H4040" s="338" t="s">
        <v>425</v>
      </c>
      <c r="I4040" s="338" t="s">
        <v>411</v>
      </c>
      <c r="J4040" s="339"/>
      <c r="K4040" s="339"/>
      <c r="L4040" s="339">
        <v>0.20946400000000001</v>
      </c>
      <c r="M4040" s="339"/>
      <c r="N4040" s="338"/>
      <c r="O4040" s="338" t="s">
        <v>417</v>
      </c>
      <c r="P4040" s="338" t="s">
        <v>417</v>
      </c>
    </row>
    <row r="4041" spans="2:16" x14ac:dyDescent="0.25">
      <c r="B4041" s="336" t="s">
        <v>416</v>
      </c>
      <c r="C4041" s="337">
        <v>38853</v>
      </c>
      <c r="D4041" s="338" t="s">
        <v>2264</v>
      </c>
      <c r="E4041" s="336" t="s">
        <v>2263</v>
      </c>
      <c r="F4041" s="338"/>
      <c r="G4041" s="338">
        <v>15.4</v>
      </c>
      <c r="H4041" s="338" t="s">
        <v>696</v>
      </c>
      <c r="I4041" s="338" t="s">
        <v>411</v>
      </c>
      <c r="J4041" s="339"/>
      <c r="K4041" s="339"/>
      <c r="L4041" s="339" t="s">
        <v>409</v>
      </c>
      <c r="M4041" s="339" t="s">
        <v>409</v>
      </c>
      <c r="N4041" s="338" t="s">
        <v>417</v>
      </c>
      <c r="O4041" s="338" t="s">
        <v>409</v>
      </c>
      <c r="P4041" s="338" t="s">
        <v>417</v>
      </c>
    </row>
    <row r="4042" spans="2:16" x14ac:dyDescent="0.25">
      <c r="B4042" s="336" t="s">
        <v>459</v>
      </c>
      <c r="C4042" s="337">
        <v>38853</v>
      </c>
      <c r="D4042" s="338" t="s">
        <v>2262</v>
      </c>
      <c r="E4042" s="336" t="s">
        <v>2262</v>
      </c>
      <c r="F4042" s="338" t="s">
        <v>2261</v>
      </c>
      <c r="G4042" s="338">
        <v>9.89</v>
      </c>
      <c r="H4042" s="338" t="s">
        <v>425</v>
      </c>
      <c r="I4042" s="338" t="s">
        <v>411</v>
      </c>
      <c r="J4042" s="339">
        <v>8.077</v>
      </c>
      <c r="K4042" s="339">
        <v>14.6381</v>
      </c>
      <c r="L4042" s="339"/>
      <c r="M4042" s="339"/>
      <c r="N4042" s="338" t="s">
        <v>417</v>
      </c>
      <c r="O4042" s="338" t="s">
        <v>417</v>
      </c>
      <c r="P4042" s="338" t="s">
        <v>417</v>
      </c>
    </row>
    <row r="4043" spans="2:16" x14ac:dyDescent="0.25">
      <c r="B4043" s="336" t="s">
        <v>416</v>
      </c>
      <c r="C4043" s="337">
        <v>38853</v>
      </c>
      <c r="D4043" s="338" t="s">
        <v>2260</v>
      </c>
      <c r="E4043" s="336" t="s">
        <v>577</v>
      </c>
      <c r="F4043" s="338" t="s">
        <v>2259</v>
      </c>
      <c r="G4043" s="338">
        <v>382.39</v>
      </c>
      <c r="H4043" s="338" t="s">
        <v>425</v>
      </c>
      <c r="I4043" s="338" t="s">
        <v>411</v>
      </c>
      <c r="J4043" s="339"/>
      <c r="K4043" s="339"/>
      <c r="L4043" s="339">
        <v>0.22204599999999999</v>
      </c>
      <c r="M4043" s="339">
        <v>7.0773000000000001</v>
      </c>
      <c r="N4043" s="338" t="s">
        <v>417</v>
      </c>
      <c r="O4043" s="338" t="s">
        <v>432</v>
      </c>
      <c r="P4043" s="338" t="s">
        <v>432</v>
      </c>
    </row>
    <row r="4044" spans="2:16" x14ac:dyDescent="0.25">
      <c r="B4044" s="336" t="s">
        <v>416</v>
      </c>
      <c r="C4044" s="337">
        <v>38853</v>
      </c>
      <c r="D4044" s="338" t="s">
        <v>2258</v>
      </c>
      <c r="E4044" s="336" t="s">
        <v>1004</v>
      </c>
      <c r="F4044" s="338"/>
      <c r="G4044" s="338" t="s">
        <v>413</v>
      </c>
      <c r="H4044" s="338" t="s">
        <v>412</v>
      </c>
      <c r="I4044" s="338" t="s">
        <v>411</v>
      </c>
      <c r="J4044" s="339"/>
      <c r="K4044" s="339"/>
      <c r="L4044" s="339" t="s">
        <v>409</v>
      </c>
      <c r="M4044" s="339" t="s">
        <v>409</v>
      </c>
      <c r="N4044" s="338" t="s">
        <v>417</v>
      </c>
      <c r="O4044" s="338" t="s">
        <v>409</v>
      </c>
      <c r="P4044" s="338" t="s">
        <v>417</v>
      </c>
    </row>
    <row r="4045" spans="2:16" x14ac:dyDescent="0.25">
      <c r="B4045" s="336" t="s">
        <v>416</v>
      </c>
      <c r="C4045" s="337">
        <v>38853</v>
      </c>
      <c r="D4045" s="338" t="s">
        <v>2257</v>
      </c>
      <c r="E4045" s="336" t="s">
        <v>2256</v>
      </c>
      <c r="F4045" s="338"/>
      <c r="G4045" s="338" t="s">
        <v>413</v>
      </c>
      <c r="H4045" s="338" t="s">
        <v>425</v>
      </c>
      <c r="I4045" s="338" t="s">
        <v>411</v>
      </c>
      <c r="J4045" s="339"/>
      <c r="K4045" s="339"/>
      <c r="L4045" s="339" t="s">
        <v>409</v>
      </c>
      <c r="M4045" s="339" t="s">
        <v>409</v>
      </c>
      <c r="N4045" s="338" t="s">
        <v>417</v>
      </c>
      <c r="O4045" s="338" t="s">
        <v>409</v>
      </c>
      <c r="P4045" s="338" t="s">
        <v>543</v>
      </c>
    </row>
    <row r="4046" spans="2:16" x14ac:dyDescent="0.25">
      <c r="B4046" s="336" t="s">
        <v>416</v>
      </c>
      <c r="C4046" s="337">
        <v>38853</v>
      </c>
      <c r="D4046" s="338" t="s">
        <v>2255</v>
      </c>
      <c r="E4046" s="336" t="s">
        <v>2254</v>
      </c>
      <c r="F4046" s="338"/>
      <c r="G4046" s="338" t="s">
        <v>413</v>
      </c>
      <c r="H4046" s="338" t="s">
        <v>425</v>
      </c>
      <c r="I4046" s="338" t="s">
        <v>411</v>
      </c>
      <c r="J4046" s="339"/>
      <c r="K4046" s="339"/>
      <c r="L4046" s="339" t="s">
        <v>409</v>
      </c>
      <c r="M4046" s="339" t="s">
        <v>409</v>
      </c>
      <c r="N4046" s="338" t="s">
        <v>417</v>
      </c>
      <c r="O4046" s="338" t="s">
        <v>409</v>
      </c>
      <c r="P4046" s="338" t="s">
        <v>432</v>
      </c>
    </row>
    <row r="4047" spans="2:16" x14ac:dyDescent="0.25">
      <c r="B4047" s="336" t="s">
        <v>416</v>
      </c>
      <c r="C4047" s="337">
        <v>38852</v>
      </c>
      <c r="D4047" s="338" t="s">
        <v>2253</v>
      </c>
      <c r="E4047" s="336" t="s">
        <v>544</v>
      </c>
      <c r="F4047" s="338"/>
      <c r="G4047" s="338" t="s">
        <v>413</v>
      </c>
      <c r="H4047" s="338" t="s">
        <v>425</v>
      </c>
      <c r="I4047" s="338" t="s">
        <v>411</v>
      </c>
      <c r="J4047" s="339"/>
      <c r="K4047" s="339"/>
      <c r="L4047" s="339" t="s">
        <v>409</v>
      </c>
      <c r="M4047" s="339" t="s">
        <v>409</v>
      </c>
      <c r="N4047" s="338"/>
      <c r="O4047" s="338" t="s">
        <v>409</v>
      </c>
      <c r="P4047" s="338" t="s">
        <v>543</v>
      </c>
    </row>
    <row r="4048" spans="2:16" x14ac:dyDescent="0.25">
      <c r="B4048" s="336" t="s">
        <v>416</v>
      </c>
      <c r="C4048" s="337">
        <v>38852</v>
      </c>
      <c r="D4048" s="338" t="s">
        <v>2252</v>
      </c>
      <c r="E4048" s="336" t="s">
        <v>856</v>
      </c>
      <c r="F4048" s="338"/>
      <c r="G4048" s="338">
        <v>4</v>
      </c>
      <c r="H4048" s="338" t="s">
        <v>425</v>
      </c>
      <c r="I4048" s="338" t="s">
        <v>411</v>
      </c>
      <c r="J4048" s="339"/>
      <c r="K4048" s="339"/>
      <c r="L4048" s="339" t="s">
        <v>409</v>
      </c>
      <c r="M4048" s="339" t="s">
        <v>409</v>
      </c>
      <c r="N4048" s="338" t="s">
        <v>410</v>
      </c>
      <c r="O4048" s="338" t="s">
        <v>409</v>
      </c>
      <c r="P4048" s="338" t="s">
        <v>417</v>
      </c>
    </row>
    <row r="4049" spans="2:16" x14ac:dyDescent="0.25">
      <c r="B4049" s="336" t="s">
        <v>416</v>
      </c>
      <c r="C4049" s="337">
        <v>38848</v>
      </c>
      <c r="D4049" s="338" t="s">
        <v>2251</v>
      </c>
      <c r="E4049" s="336" t="s">
        <v>2250</v>
      </c>
      <c r="F4049" s="338" t="s">
        <v>2249</v>
      </c>
      <c r="G4049" s="338">
        <v>9.5</v>
      </c>
      <c r="H4049" s="338" t="s">
        <v>425</v>
      </c>
      <c r="I4049" s="338" t="s">
        <v>411</v>
      </c>
      <c r="J4049" s="339"/>
      <c r="K4049" s="339"/>
      <c r="L4049" s="339"/>
      <c r="M4049" s="339"/>
      <c r="N4049" s="338"/>
      <c r="O4049" s="338" t="s">
        <v>432</v>
      </c>
      <c r="P4049" s="338" t="s">
        <v>432</v>
      </c>
    </row>
    <row r="4050" spans="2:16" x14ac:dyDescent="0.25">
      <c r="B4050" s="336" t="s">
        <v>416</v>
      </c>
      <c r="C4050" s="337">
        <v>38848</v>
      </c>
      <c r="D4050" s="338" t="s">
        <v>2248</v>
      </c>
      <c r="E4050" s="336" t="s">
        <v>2247</v>
      </c>
      <c r="F4050" s="338" t="s">
        <v>980</v>
      </c>
      <c r="G4050" s="338" t="s">
        <v>413</v>
      </c>
      <c r="H4050" s="338" t="s">
        <v>425</v>
      </c>
      <c r="I4050" s="338" t="s">
        <v>411</v>
      </c>
      <c r="J4050" s="339"/>
      <c r="K4050" s="339"/>
      <c r="L4050" s="339">
        <v>0.87109899999999996</v>
      </c>
      <c r="M4050" s="339">
        <v>6.4264900000000003</v>
      </c>
      <c r="N4050" s="338"/>
      <c r="O4050" s="338" t="s">
        <v>417</v>
      </c>
      <c r="P4050" s="338" t="s">
        <v>443</v>
      </c>
    </row>
    <row r="4051" spans="2:16" x14ac:dyDescent="0.25">
      <c r="B4051" s="336" t="s">
        <v>416</v>
      </c>
      <c r="C4051" s="337">
        <v>38847</v>
      </c>
      <c r="D4051" s="338" t="s">
        <v>1403</v>
      </c>
      <c r="E4051" s="336" t="s">
        <v>2246</v>
      </c>
      <c r="F4051" s="338" t="s">
        <v>2245</v>
      </c>
      <c r="G4051" s="338">
        <v>815.34</v>
      </c>
      <c r="H4051" s="338" t="s">
        <v>425</v>
      </c>
      <c r="I4051" s="338" t="s">
        <v>411</v>
      </c>
      <c r="J4051" s="339">
        <v>0.37032799999999999</v>
      </c>
      <c r="K4051" s="339">
        <v>6.0799500000000002</v>
      </c>
      <c r="L4051" s="339"/>
      <c r="M4051" s="339"/>
      <c r="N4051" s="338" t="s">
        <v>417</v>
      </c>
      <c r="O4051" s="338" t="s">
        <v>543</v>
      </c>
      <c r="P4051" s="338" t="s">
        <v>443</v>
      </c>
    </row>
    <row r="4052" spans="2:16" x14ac:dyDescent="0.25">
      <c r="B4052" s="336" t="s">
        <v>416</v>
      </c>
      <c r="C4052" s="337">
        <v>38847</v>
      </c>
      <c r="D4052" s="338" t="s">
        <v>2244</v>
      </c>
      <c r="E4052" s="336" t="s">
        <v>2243</v>
      </c>
      <c r="F4052" s="338" t="s">
        <v>2121</v>
      </c>
      <c r="G4052" s="338">
        <v>48.4</v>
      </c>
      <c r="H4052" s="338" t="s">
        <v>425</v>
      </c>
      <c r="I4052" s="338" t="s">
        <v>411</v>
      </c>
      <c r="J4052" s="339"/>
      <c r="K4052" s="339"/>
      <c r="L4052" s="339"/>
      <c r="M4052" s="339"/>
      <c r="N4052" s="338"/>
      <c r="O4052" s="338" t="s">
        <v>417</v>
      </c>
      <c r="P4052" s="338" t="s">
        <v>443</v>
      </c>
    </row>
    <row r="4053" spans="2:16" x14ac:dyDescent="0.25">
      <c r="B4053" s="336" t="s">
        <v>416</v>
      </c>
      <c r="C4053" s="337">
        <v>38846</v>
      </c>
      <c r="D4053" s="338" t="s">
        <v>2242</v>
      </c>
      <c r="E4053" s="336" t="s">
        <v>485</v>
      </c>
      <c r="F4053" s="338"/>
      <c r="G4053" s="338">
        <v>0.84</v>
      </c>
      <c r="H4053" s="338" t="s">
        <v>425</v>
      </c>
      <c r="I4053" s="338" t="s">
        <v>411</v>
      </c>
      <c r="J4053" s="339"/>
      <c r="K4053" s="339"/>
      <c r="L4053" s="339" t="s">
        <v>409</v>
      </c>
      <c r="M4053" s="339" t="s">
        <v>409</v>
      </c>
      <c r="N4053" s="338"/>
      <c r="O4053" s="338" t="s">
        <v>409</v>
      </c>
      <c r="P4053" s="338" t="s">
        <v>417</v>
      </c>
    </row>
    <row r="4054" spans="2:16" x14ac:dyDescent="0.25">
      <c r="B4054" s="336" t="s">
        <v>416</v>
      </c>
      <c r="C4054" s="337">
        <v>38842</v>
      </c>
      <c r="D4054" s="338" t="s">
        <v>2241</v>
      </c>
      <c r="E4054" s="336" t="s">
        <v>2240</v>
      </c>
      <c r="F4054" s="338"/>
      <c r="G4054" s="338">
        <v>60</v>
      </c>
      <c r="H4054" s="338" t="s">
        <v>425</v>
      </c>
      <c r="I4054" s="338" t="s">
        <v>411</v>
      </c>
      <c r="J4054" s="339"/>
      <c r="K4054" s="339"/>
      <c r="L4054" s="339" t="s">
        <v>409</v>
      </c>
      <c r="M4054" s="339" t="s">
        <v>409</v>
      </c>
      <c r="N4054" s="338" t="s">
        <v>417</v>
      </c>
      <c r="O4054" s="338" t="s">
        <v>409</v>
      </c>
      <c r="P4054" s="338" t="s">
        <v>443</v>
      </c>
    </row>
    <row r="4055" spans="2:16" x14ac:dyDescent="0.25">
      <c r="B4055" s="336" t="s">
        <v>416</v>
      </c>
      <c r="C4055" s="337">
        <v>38842</v>
      </c>
      <c r="D4055" s="338" t="s">
        <v>2239</v>
      </c>
      <c r="E4055" s="336" t="s">
        <v>2238</v>
      </c>
      <c r="F4055" s="338" t="s">
        <v>2237</v>
      </c>
      <c r="G4055" s="338" t="s">
        <v>413</v>
      </c>
      <c r="H4055" s="338" t="s">
        <v>425</v>
      </c>
      <c r="I4055" s="338" t="s">
        <v>411</v>
      </c>
      <c r="J4055" s="339"/>
      <c r="K4055" s="339"/>
      <c r="L4055" s="339">
        <v>0.724661</v>
      </c>
      <c r="M4055" s="339">
        <v>9.8471299999999999</v>
      </c>
      <c r="N4055" s="338"/>
      <c r="O4055" s="338" t="s">
        <v>410</v>
      </c>
      <c r="P4055" s="338" t="s">
        <v>410</v>
      </c>
    </row>
    <row r="4056" spans="2:16" x14ac:dyDescent="0.25">
      <c r="B4056" s="336" t="s">
        <v>416</v>
      </c>
      <c r="C4056" s="337">
        <v>38842</v>
      </c>
      <c r="D4056" s="338" t="s">
        <v>2236</v>
      </c>
      <c r="E4056" s="336" t="s">
        <v>2235</v>
      </c>
      <c r="F4056" s="338"/>
      <c r="G4056" s="338" t="s">
        <v>413</v>
      </c>
      <c r="H4056" s="338" t="s">
        <v>412</v>
      </c>
      <c r="I4056" s="338" t="s">
        <v>411</v>
      </c>
      <c r="J4056" s="339"/>
      <c r="K4056" s="339"/>
      <c r="L4056" s="339" t="s">
        <v>409</v>
      </c>
      <c r="M4056" s="339" t="s">
        <v>409</v>
      </c>
      <c r="N4056" s="338" t="s">
        <v>417</v>
      </c>
      <c r="O4056" s="338" t="s">
        <v>409</v>
      </c>
      <c r="P4056" s="338" t="s">
        <v>417</v>
      </c>
    </row>
    <row r="4057" spans="2:16" x14ac:dyDescent="0.25">
      <c r="B4057" s="336" t="s">
        <v>416</v>
      </c>
      <c r="C4057" s="337">
        <v>38842</v>
      </c>
      <c r="D4057" s="338" t="s">
        <v>2234</v>
      </c>
      <c r="E4057" s="336" t="s">
        <v>2233</v>
      </c>
      <c r="F4057" s="338"/>
      <c r="G4057" s="338">
        <v>238.67</v>
      </c>
      <c r="H4057" s="338" t="s">
        <v>425</v>
      </c>
      <c r="I4057" s="338" t="s">
        <v>411</v>
      </c>
      <c r="J4057" s="339">
        <v>0.72306999999999999</v>
      </c>
      <c r="K4057" s="339">
        <v>11.738</v>
      </c>
      <c r="L4057" s="339" t="s">
        <v>409</v>
      </c>
      <c r="M4057" s="339" t="s">
        <v>409</v>
      </c>
      <c r="N4057" s="338" t="s">
        <v>417</v>
      </c>
      <c r="O4057" s="338" t="s">
        <v>409</v>
      </c>
      <c r="P4057" s="338" t="s">
        <v>417</v>
      </c>
    </row>
    <row r="4058" spans="2:16" x14ac:dyDescent="0.25">
      <c r="B4058" s="336" t="s">
        <v>416</v>
      </c>
      <c r="C4058" s="337">
        <v>38841</v>
      </c>
      <c r="D4058" s="338" t="s">
        <v>2232</v>
      </c>
      <c r="E4058" s="336" t="s">
        <v>2231</v>
      </c>
      <c r="F4058" s="338" t="s">
        <v>2230</v>
      </c>
      <c r="G4058" s="338" t="s">
        <v>413</v>
      </c>
      <c r="H4058" s="338" t="s">
        <v>412</v>
      </c>
      <c r="I4058" s="338" t="s">
        <v>411</v>
      </c>
      <c r="J4058" s="339"/>
      <c r="K4058" s="339"/>
      <c r="L4058" s="339"/>
      <c r="M4058" s="339"/>
      <c r="N4058" s="338" t="s">
        <v>417</v>
      </c>
      <c r="O4058" s="338" t="s">
        <v>417</v>
      </c>
      <c r="P4058" s="338" t="s">
        <v>417</v>
      </c>
    </row>
    <row r="4059" spans="2:16" x14ac:dyDescent="0.25">
      <c r="B4059" s="336" t="s">
        <v>416</v>
      </c>
      <c r="C4059" s="337">
        <v>38841</v>
      </c>
      <c r="D4059" s="338" t="s">
        <v>2229</v>
      </c>
      <c r="E4059" s="336" t="s">
        <v>939</v>
      </c>
      <c r="F4059" s="338"/>
      <c r="G4059" s="338">
        <v>450</v>
      </c>
      <c r="H4059" s="338" t="s">
        <v>425</v>
      </c>
      <c r="I4059" s="338" t="s">
        <v>411</v>
      </c>
      <c r="J4059" s="339"/>
      <c r="K4059" s="339"/>
      <c r="L4059" s="339" t="s">
        <v>409</v>
      </c>
      <c r="M4059" s="339" t="s">
        <v>409</v>
      </c>
      <c r="N4059" s="338" t="s">
        <v>417</v>
      </c>
      <c r="O4059" s="338" t="s">
        <v>409</v>
      </c>
      <c r="P4059" s="338"/>
    </row>
    <row r="4060" spans="2:16" x14ac:dyDescent="0.25">
      <c r="B4060" s="336" t="s">
        <v>416</v>
      </c>
      <c r="C4060" s="337">
        <v>38841</v>
      </c>
      <c r="D4060" s="338" t="s">
        <v>2228</v>
      </c>
      <c r="E4060" s="336" t="s">
        <v>2227</v>
      </c>
      <c r="F4060" s="338" t="s">
        <v>2226</v>
      </c>
      <c r="G4060" s="338">
        <v>46</v>
      </c>
      <c r="H4060" s="338" t="s">
        <v>429</v>
      </c>
      <c r="I4060" s="338" t="s">
        <v>411</v>
      </c>
      <c r="J4060" s="339"/>
      <c r="K4060" s="339"/>
      <c r="L4060" s="339"/>
      <c r="M4060" s="339"/>
      <c r="N4060" s="338" t="s">
        <v>417</v>
      </c>
      <c r="O4060" s="338" t="s">
        <v>417</v>
      </c>
      <c r="P4060" s="338" t="s">
        <v>417</v>
      </c>
    </row>
    <row r="4061" spans="2:16" x14ac:dyDescent="0.25">
      <c r="B4061" s="336" t="s">
        <v>416</v>
      </c>
      <c r="C4061" s="337">
        <v>38841</v>
      </c>
      <c r="D4061" s="338" t="s">
        <v>2225</v>
      </c>
      <c r="E4061" s="336" t="s">
        <v>2224</v>
      </c>
      <c r="F4061" s="338"/>
      <c r="G4061" s="338">
        <v>21.18</v>
      </c>
      <c r="H4061" s="338" t="s">
        <v>336</v>
      </c>
      <c r="I4061" s="338" t="s">
        <v>411</v>
      </c>
      <c r="J4061" s="339"/>
      <c r="K4061" s="339"/>
      <c r="L4061" s="339" t="s">
        <v>409</v>
      </c>
      <c r="M4061" s="339" t="s">
        <v>409</v>
      </c>
      <c r="N4061" s="338" t="s">
        <v>417</v>
      </c>
      <c r="O4061" s="338" t="s">
        <v>409</v>
      </c>
      <c r="P4061" s="338" t="s">
        <v>408</v>
      </c>
    </row>
    <row r="4062" spans="2:16" x14ac:dyDescent="0.25">
      <c r="B4062" s="336" t="s">
        <v>416</v>
      </c>
      <c r="C4062" s="337">
        <v>38841</v>
      </c>
      <c r="D4062" s="338" t="s">
        <v>2223</v>
      </c>
      <c r="E4062" s="336" t="s">
        <v>2222</v>
      </c>
      <c r="F4062" s="338"/>
      <c r="G4062" s="338" t="s">
        <v>413</v>
      </c>
      <c r="H4062" s="338" t="s">
        <v>412</v>
      </c>
      <c r="I4062" s="338" t="s">
        <v>411</v>
      </c>
      <c r="J4062" s="339"/>
      <c r="K4062" s="339"/>
      <c r="L4062" s="339" t="s">
        <v>409</v>
      </c>
      <c r="M4062" s="339" t="s">
        <v>409</v>
      </c>
      <c r="N4062" s="338" t="s">
        <v>417</v>
      </c>
      <c r="O4062" s="338" t="s">
        <v>409</v>
      </c>
      <c r="P4062" s="338" t="s">
        <v>417</v>
      </c>
    </row>
    <row r="4063" spans="2:16" x14ac:dyDescent="0.25">
      <c r="B4063" s="336" t="s">
        <v>416</v>
      </c>
      <c r="C4063" s="337">
        <v>38840</v>
      </c>
      <c r="D4063" s="338" t="s">
        <v>2221</v>
      </c>
      <c r="E4063" s="336" t="s">
        <v>1123</v>
      </c>
      <c r="F4063" s="338"/>
      <c r="G4063" s="338" t="s">
        <v>413</v>
      </c>
      <c r="H4063" s="338" t="s">
        <v>412</v>
      </c>
      <c r="I4063" s="338" t="s">
        <v>411</v>
      </c>
      <c r="J4063" s="339"/>
      <c r="K4063" s="339"/>
      <c r="L4063" s="339" t="s">
        <v>409</v>
      </c>
      <c r="M4063" s="339" t="s">
        <v>409</v>
      </c>
      <c r="N4063" s="338" t="s">
        <v>417</v>
      </c>
      <c r="O4063" s="338" t="s">
        <v>409</v>
      </c>
      <c r="P4063" s="338" t="s">
        <v>417</v>
      </c>
    </row>
    <row r="4064" spans="2:16" x14ac:dyDescent="0.25">
      <c r="B4064" s="336" t="s">
        <v>416</v>
      </c>
      <c r="C4064" s="337">
        <v>38840</v>
      </c>
      <c r="D4064" s="338" t="s">
        <v>2220</v>
      </c>
      <c r="E4064" s="336" t="s">
        <v>831</v>
      </c>
      <c r="F4064" s="338"/>
      <c r="G4064" s="338" t="s">
        <v>413</v>
      </c>
      <c r="H4064" s="338" t="s">
        <v>412</v>
      </c>
      <c r="I4064" s="338" t="s">
        <v>411</v>
      </c>
      <c r="J4064" s="339"/>
      <c r="K4064" s="339"/>
      <c r="L4064" s="339" t="s">
        <v>409</v>
      </c>
      <c r="M4064" s="339" t="s">
        <v>409</v>
      </c>
      <c r="N4064" s="338" t="s">
        <v>487</v>
      </c>
      <c r="O4064" s="338" t="s">
        <v>409</v>
      </c>
      <c r="P4064" s="338" t="s">
        <v>417</v>
      </c>
    </row>
    <row r="4065" spans="2:16" x14ac:dyDescent="0.25">
      <c r="B4065" s="336" t="s">
        <v>416</v>
      </c>
      <c r="C4065" s="337">
        <v>38840</v>
      </c>
      <c r="D4065" s="338" t="s">
        <v>2219</v>
      </c>
      <c r="E4065" s="336" t="s">
        <v>2218</v>
      </c>
      <c r="F4065" s="338" t="s">
        <v>980</v>
      </c>
      <c r="G4065" s="338" t="s">
        <v>413</v>
      </c>
      <c r="H4065" s="338" t="s">
        <v>425</v>
      </c>
      <c r="I4065" s="338" t="s">
        <v>411</v>
      </c>
      <c r="J4065" s="339"/>
      <c r="K4065" s="339"/>
      <c r="L4065" s="339">
        <v>0.87109899999999996</v>
      </c>
      <c r="M4065" s="339">
        <v>6.4264900000000003</v>
      </c>
      <c r="N4065" s="338"/>
      <c r="O4065" s="338" t="s">
        <v>417</v>
      </c>
      <c r="P4065" s="338" t="s">
        <v>443</v>
      </c>
    </row>
    <row r="4066" spans="2:16" x14ac:dyDescent="0.25">
      <c r="B4066" s="336" t="s">
        <v>416</v>
      </c>
      <c r="C4066" s="337">
        <v>38840</v>
      </c>
      <c r="D4066" s="338" t="s">
        <v>2217</v>
      </c>
      <c r="E4066" s="336" t="s">
        <v>2216</v>
      </c>
      <c r="F4066" s="338"/>
      <c r="G4066" s="338" t="s">
        <v>413</v>
      </c>
      <c r="H4066" s="338" t="s">
        <v>412</v>
      </c>
      <c r="I4066" s="338" t="s">
        <v>411</v>
      </c>
      <c r="J4066" s="339"/>
      <c r="K4066" s="339"/>
      <c r="L4066" s="339" t="s">
        <v>409</v>
      </c>
      <c r="M4066" s="339" t="s">
        <v>409</v>
      </c>
      <c r="N4066" s="338" t="s">
        <v>487</v>
      </c>
      <c r="O4066" s="338" t="s">
        <v>409</v>
      </c>
      <c r="P4066" s="338" t="s">
        <v>410</v>
      </c>
    </row>
    <row r="4067" spans="2:16" x14ac:dyDescent="0.25">
      <c r="B4067" s="336" t="s">
        <v>416</v>
      </c>
      <c r="C4067" s="337">
        <v>38840</v>
      </c>
      <c r="D4067" s="338" t="s">
        <v>2215</v>
      </c>
      <c r="E4067" s="336" t="s">
        <v>1834</v>
      </c>
      <c r="F4067" s="338"/>
      <c r="G4067" s="338" t="s">
        <v>413</v>
      </c>
      <c r="H4067" s="338" t="s">
        <v>412</v>
      </c>
      <c r="I4067" s="338" t="s">
        <v>411</v>
      </c>
      <c r="J4067" s="339"/>
      <c r="K4067" s="339"/>
      <c r="L4067" s="339" t="s">
        <v>409</v>
      </c>
      <c r="M4067" s="339" t="s">
        <v>409</v>
      </c>
      <c r="N4067" s="338"/>
      <c r="O4067" s="338" t="s">
        <v>409</v>
      </c>
      <c r="P4067" s="338" t="s">
        <v>443</v>
      </c>
    </row>
    <row r="4068" spans="2:16" x14ac:dyDescent="0.25">
      <c r="B4068" s="336" t="s">
        <v>416</v>
      </c>
      <c r="C4068" s="337">
        <v>38839</v>
      </c>
      <c r="D4068" s="338" t="s">
        <v>2214</v>
      </c>
      <c r="E4068" s="336" t="s">
        <v>1271</v>
      </c>
      <c r="F4068" s="338" t="s">
        <v>1228</v>
      </c>
      <c r="G4068" s="338" t="s">
        <v>413</v>
      </c>
      <c r="H4068" s="338" t="s">
        <v>425</v>
      </c>
      <c r="I4068" s="338" t="s">
        <v>411</v>
      </c>
      <c r="J4068" s="339"/>
      <c r="K4068" s="339"/>
      <c r="L4068" s="339">
        <v>1.84887</v>
      </c>
      <c r="M4068" s="339">
        <v>10.621600000000001</v>
      </c>
      <c r="N4068" s="338"/>
      <c r="O4068" s="338" t="s">
        <v>410</v>
      </c>
      <c r="P4068" s="338" t="s">
        <v>410</v>
      </c>
    </row>
    <row r="4069" spans="2:16" x14ac:dyDescent="0.25">
      <c r="B4069" s="336" t="s">
        <v>416</v>
      </c>
      <c r="C4069" s="337">
        <v>38839</v>
      </c>
      <c r="D4069" s="338" t="s">
        <v>2213</v>
      </c>
      <c r="E4069" s="336" t="s">
        <v>452</v>
      </c>
      <c r="F4069" s="338" t="s">
        <v>2212</v>
      </c>
      <c r="G4069" s="338" t="s">
        <v>413</v>
      </c>
      <c r="H4069" s="338" t="s">
        <v>412</v>
      </c>
      <c r="I4069" s="338" t="s">
        <v>411</v>
      </c>
      <c r="J4069" s="339"/>
      <c r="K4069" s="339"/>
      <c r="L4069" s="339"/>
      <c r="M4069" s="339"/>
      <c r="N4069" s="338"/>
      <c r="O4069" s="338" t="s">
        <v>417</v>
      </c>
      <c r="P4069" s="338" t="s">
        <v>417</v>
      </c>
    </row>
    <row r="4070" spans="2:16" x14ac:dyDescent="0.25">
      <c r="B4070" s="336" t="s">
        <v>416</v>
      </c>
      <c r="C4070" s="337">
        <v>38839</v>
      </c>
      <c r="D4070" s="338" t="s">
        <v>2211</v>
      </c>
      <c r="E4070" s="336" t="s">
        <v>598</v>
      </c>
      <c r="F4070" s="338"/>
      <c r="G4070" s="338" t="s">
        <v>413</v>
      </c>
      <c r="H4070" s="338" t="s">
        <v>425</v>
      </c>
      <c r="I4070" s="338" t="s">
        <v>411</v>
      </c>
      <c r="J4070" s="339"/>
      <c r="K4070" s="339"/>
      <c r="L4070" s="339" t="s">
        <v>409</v>
      </c>
      <c r="M4070" s="339" t="s">
        <v>409</v>
      </c>
      <c r="N4070" s="338"/>
      <c r="O4070" s="338" t="s">
        <v>409</v>
      </c>
      <c r="P4070" s="338" t="s">
        <v>417</v>
      </c>
    </row>
    <row r="4071" spans="2:16" x14ac:dyDescent="0.25">
      <c r="B4071" s="336" t="s">
        <v>416</v>
      </c>
      <c r="C4071" s="337">
        <v>38838</v>
      </c>
      <c r="D4071" s="338" t="s">
        <v>2210</v>
      </c>
      <c r="E4071" s="336" t="s">
        <v>2209</v>
      </c>
      <c r="F4071" s="338"/>
      <c r="G4071" s="338">
        <v>42.9</v>
      </c>
      <c r="H4071" s="338" t="s">
        <v>336</v>
      </c>
      <c r="I4071" s="338" t="s">
        <v>411</v>
      </c>
      <c r="J4071" s="339"/>
      <c r="K4071" s="339"/>
      <c r="L4071" s="339" t="s">
        <v>409</v>
      </c>
      <c r="M4071" s="339" t="s">
        <v>409</v>
      </c>
      <c r="N4071" s="338" t="s">
        <v>417</v>
      </c>
      <c r="O4071" s="338" t="s">
        <v>409</v>
      </c>
      <c r="P4071" s="338" t="s">
        <v>410</v>
      </c>
    </row>
    <row r="4072" spans="2:16" x14ac:dyDescent="0.25">
      <c r="B4072" s="336" t="s">
        <v>416</v>
      </c>
      <c r="C4072" s="337">
        <v>38838</v>
      </c>
      <c r="D4072" s="338" t="s">
        <v>738</v>
      </c>
      <c r="E4072" s="336" t="s">
        <v>2208</v>
      </c>
      <c r="F4072" s="338"/>
      <c r="G4072" s="338" t="s">
        <v>413</v>
      </c>
      <c r="H4072" s="338" t="s">
        <v>412</v>
      </c>
      <c r="I4072" s="338" t="s">
        <v>411</v>
      </c>
      <c r="J4072" s="339"/>
      <c r="K4072" s="339"/>
      <c r="L4072" s="339" t="s">
        <v>409</v>
      </c>
      <c r="M4072" s="339" t="s">
        <v>409</v>
      </c>
      <c r="N4072" s="338" t="s">
        <v>417</v>
      </c>
      <c r="O4072" s="338" t="s">
        <v>409</v>
      </c>
      <c r="P4072" s="338" t="s">
        <v>443</v>
      </c>
    </row>
    <row r="4073" spans="2:16" x14ac:dyDescent="0.25">
      <c r="B4073" s="336" t="s">
        <v>416</v>
      </c>
      <c r="C4073" s="337">
        <v>38838</v>
      </c>
      <c r="D4073" s="338" t="s">
        <v>2207</v>
      </c>
      <c r="E4073" s="336" t="s">
        <v>2206</v>
      </c>
      <c r="F4073" s="338" t="s">
        <v>980</v>
      </c>
      <c r="G4073" s="338" t="s">
        <v>413</v>
      </c>
      <c r="H4073" s="338" t="s">
        <v>425</v>
      </c>
      <c r="I4073" s="338" t="s">
        <v>411</v>
      </c>
      <c r="J4073" s="339"/>
      <c r="K4073" s="339"/>
      <c r="L4073" s="339">
        <v>0.87109899999999996</v>
      </c>
      <c r="M4073" s="339">
        <v>6.4264900000000003</v>
      </c>
      <c r="N4073" s="338"/>
      <c r="O4073" s="338" t="s">
        <v>417</v>
      </c>
      <c r="P4073" s="338" t="s">
        <v>443</v>
      </c>
    </row>
    <row r="4074" spans="2:16" x14ac:dyDescent="0.25">
      <c r="B4074" s="336" t="s">
        <v>416</v>
      </c>
      <c r="C4074" s="337">
        <v>38837</v>
      </c>
      <c r="D4074" s="338" t="s">
        <v>931</v>
      </c>
      <c r="E4074" s="336" t="s">
        <v>2205</v>
      </c>
      <c r="F4074" s="338" t="s">
        <v>2204</v>
      </c>
      <c r="G4074" s="338">
        <v>62</v>
      </c>
      <c r="H4074" s="338" t="s">
        <v>425</v>
      </c>
      <c r="I4074" s="338" t="s">
        <v>411</v>
      </c>
      <c r="J4074" s="339"/>
      <c r="K4074" s="339"/>
      <c r="L4074" s="339"/>
      <c r="M4074" s="339"/>
      <c r="N4074" s="338" t="s">
        <v>417</v>
      </c>
      <c r="O4074" s="338" t="s">
        <v>443</v>
      </c>
      <c r="P4074" s="338" t="s">
        <v>443</v>
      </c>
    </row>
    <row r="4075" spans="2:16" x14ac:dyDescent="0.25">
      <c r="B4075" s="336" t="s">
        <v>542</v>
      </c>
      <c r="C4075" s="337">
        <v>38834</v>
      </c>
      <c r="D4075" s="338" t="s">
        <v>2203</v>
      </c>
      <c r="E4075" s="336" t="s">
        <v>539</v>
      </c>
      <c r="F4075" s="338"/>
      <c r="G4075" s="338">
        <v>7.85</v>
      </c>
      <c r="H4075" s="338"/>
      <c r="I4075" s="338" t="s">
        <v>411</v>
      </c>
      <c r="J4075" s="339">
        <v>0.35622700000000002</v>
      </c>
      <c r="K4075" s="339"/>
      <c r="L4075" s="339" t="s">
        <v>409</v>
      </c>
      <c r="M4075" s="339" t="s">
        <v>409</v>
      </c>
      <c r="N4075" s="338" t="s">
        <v>417</v>
      </c>
      <c r="O4075" s="338" t="s">
        <v>409</v>
      </c>
      <c r="P4075" s="338" t="s">
        <v>417</v>
      </c>
    </row>
    <row r="4076" spans="2:16" x14ac:dyDescent="0.25">
      <c r="B4076" s="336" t="s">
        <v>416</v>
      </c>
      <c r="C4076" s="337">
        <v>38833</v>
      </c>
      <c r="D4076" s="338" t="s">
        <v>1509</v>
      </c>
      <c r="E4076" s="336" t="s">
        <v>2153</v>
      </c>
      <c r="F4076" s="338" t="s">
        <v>1508</v>
      </c>
      <c r="G4076" s="338" t="s">
        <v>413</v>
      </c>
      <c r="H4076" s="338" t="s">
        <v>412</v>
      </c>
      <c r="I4076" s="338" t="s">
        <v>411</v>
      </c>
      <c r="J4076" s="339"/>
      <c r="K4076" s="339"/>
      <c r="L4076" s="339"/>
      <c r="M4076" s="339"/>
      <c r="N4076" s="338" t="s">
        <v>417</v>
      </c>
      <c r="O4076" s="338" t="s">
        <v>443</v>
      </c>
      <c r="P4076" s="338" t="s">
        <v>410</v>
      </c>
    </row>
    <row r="4077" spans="2:16" x14ac:dyDescent="0.25">
      <c r="B4077" s="336" t="s">
        <v>416</v>
      </c>
      <c r="C4077" s="337">
        <v>38833</v>
      </c>
      <c r="D4077" s="338" t="s">
        <v>1509</v>
      </c>
      <c r="E4077" s="336" t="s">
        <v>2153</v>
      </c>
      <c r="F4077" s="338" t="s">
        <v>1508</v>
      </c>
      <c r="G4077" s="338" t="s">
        <v>413</v>
      </c>
      <c r="H4077" s="338" t="s">
        <v>412</v>
      </c>
      <c r="I4077" s="338" t="s">
        <v>411</v>
      </c>
      <c r="J4077" s="339"/>
      <c r="K4077" s="339"/>
      <c r="L4077" s="339"/>
      <c r="M4077" s="339"/>
      <c r="N4077" s="338" t="s">
        <v>417</v>
      </c>
      <c r="O4077" s="338" t="s">
        <v>443</v>
      </c>
      <c r="P4077" s="338" t="s">
        <v>410</v>
      </c>
    </row>
    <row r="4078" spans="2:16" x14ac:dyDescent="0.25">
      <c r="B4078" s="336" t="s">
        <v>416</v>
      </c>
      <c r="C4078" s="337">
        <v>38832</v>
      </c>
      <c r="D4078" s="338" t="s">
        <v>2202</v>
      </c>
      <c r="E4078" s="336" t="s">
        <v>2201</v>
      </c>
      <c r="F4078" s="338"/>
      <c r="G4078" s="338" t="s">
        <v>413</v>
      </c>
      <c r="H4078" s="338" t="s">
        <v>425</v>
      </c>
      <c r="I4078" s="338" t="s">
        <v>411</v>
      </c>
      <c r="J4078" s="339"/>
      <c r="K4078" s="339"/>
      <c r="L4078" s="339" t="s">
        <v>409</v>
      </c>
      <c r="M4078" s="339" t="s">
        <v>409</v>
      </c>
      <c r="N4078" s="338"/>
      <c r="O4078" s="338" t="s">
        <v>409</v>
      </c>
      <c r="P4078" s="338" t="s">
        <v>417</v>
      </c>
    </row>
    <row r="4079" spans="2:16" x14ac:dyDescent="0.25">
      <c r="B4079" s="336" t="s">
        <v>459</v>
      </c>
      <c r="C4079" s="337">
        <v>38832</v>
      </c>
      <c r="D4079" s="338" t="s">
        <v>2200</v>
      </c>
      <c r="E4079" s="336" t="s">
        <v>934</v>
      </c>
      <c r="F4079" s="338"/>
      <c r="G4079" s="338">
        <v>0.52</v>
      </c>
      <c r="H4079" s="338" t="s">
        <v>425</v>
      </c>
      <c r="I4079" s="338" t="s">
        <v>411</v>
      </c>
      <c r="J4079" s="339"/>
      <c r="K4079" s="339"/>
      <c r="L4079" s="339" t="s">
        <v>409</v>
      </c>
      <c r="M4079" s="339" t="s">
        <v>409</v>
      </c>
      <c r="N4079" s="338" t="s">
        <v>443</v>
      </c>
      <c r="O4079" s="338" t="s">
        <v>409</v>
      </c>
      <c r="P4079" s="338" t="s">
        <v>417</v>
      </c>
    </row>
    <row r="4080" spans="2:16" x14ac:dyDescent="0.25">
      <c r="B4080" s="336" t="s">
        <v>416</v>
      </c>
      <c r="C4080" s="337">
        <v>38832</v>
      </c>
      <c r="D4080" s="338" t="s">
        <v>707</v>
      </c>
      <c r="E4080" s="336" t="s">
        <v>2199</v>
      </c>
      <c r="F4080" s="338"/>
      <c r="G4080" s="338">
        <v>14.97</v>
      </c>
      <c r="H4080" s="338" t="s">
        <v>425</v>
      </c>
      <c r="I4080" s="338" t="s">
        <v>411</v>
      </c>
      <c r="J4080" s="339"/>
      <c r="K4080" s="339"/>
      <c r="L4080" s="339" t="s">
        <v>409</v>
      </c>
      <c r="M4080" s="339" t="s">
        <v>409</v>
      </c>
      <c r="N4080" s="338" t="s">
        <v>417</v>
      </c>
      <c r="O4080" s="338" t="s">
        <v>409</v>
      </c>
      <c r="P4080" s="338" t="s">
        <v>432</v>
      </c>
    </row>
    <row r="4081" spans="2:16" x14ac:dyDescent="0.25">
      <c r="B4081" s="336" t="s">
        <v>416</v>
      </c>
      <c r="C4081" s="337">
        <v>38832</v>
      </c>
      <c r="D4081" s="338" t="s">
        <v>2198</v>
      </c>
      <c r="E4081" s="336" t="s">
        <v>2197</v>
      </c>
      <c r="F4081" s="338" t="s">
        <v>1498</v>
      </c>
      <c r="G4081" s="338">
        <v>7.5</v>
      </c>
      <c r="H4081" s="338" t="s">
        <v>425</v>
      </c>
      <c r="I4081" s="338" t="s">
        <v>411</v>
      </c>
      <c r="J4081" s="339"/>
      <c r="K4081" s="339"/>
      <c r="L4081" s="339">
        <v>0.59405200000000002</v>
      </c>
      <c r="M4081" s="339"/>
      <c r="N4081" s="338"/>
      <c r="O4081" s="338" t="s">
        <v>417</v>
      </c>
      <c r="P4081" s="338" t="s">
        <v>410</v>
      </c>
    </row>
    <row r="4082" spans="2:16" x14ac:dyDescent="0.25">
      <c r="B4082" s="336" t="s">
        <v>416</v>
      </c>
      <c r="C4082" s="337">
        <v>38832</v>
      </c>
      <c r="D4082" s="338" t="s">
        <v>2196</v>
      </c>
      <c r="E4082" s="336" t="s">
        <v>831</v>
      </c>
      <c r="F4082" s="338" t="s">
        <v>2195</v>
      </c>
      <c r="G4082" s="338" t="s">
        <v>413</v>
      </c>
      <c r="H4082" s="338" t="s">
        <v>412</v>
      </c>
      <c r="I4082" s="338" t="s">
        <v>411</v>
      </c>
      <c r="J4082" s="339"/>
      <c r="K4082" s="339"/>
      <c r="L4082" s="339"/>
      <c r="M4082" s="339"/>
      <c r="N4082" s="338" t="s">
        <v>417</v>
      </c>
      <c r="O4082" s="338" t="s">
        <v>612</v>
      </c>
      <c r="P4082" s="338" t="s">
        <v>417</v>
      </c>
    </row>
    <row r="4083" spans="2:16" x14ac:dyDescent="0.25">
      <c r="B4083" s="336" t="s">
        <v>416</v>
      </c>
      <c r="C4083" s="337">
        <v>38832</v>
      </c>
      <c r="D4083" s="338" t="s">
        <v>2194</v>
      </c>
      <c r="E4083" s="336" t="s">
        <v>2193</v>
      </c>
      <c r="F4083" s="338"/>
      <c r="G4083" s="338" t="s">
        <v>413</v>
      </c>
      <c r="H4083" s="338" t="s">
        <v>412</v>
      </c>
      <c r="I4083" s="338" t="s">
        <v>411</v>
      </c>
      <c r="J4083" s="339"/>
      <c r="K4083" s="339"/>
      <c r="L4083" s="339" t="s">
        <v>409</v>
      </c>
      <c r="M4083" s="339" t="s">
        <v>409</v>
      </c>
      <c r="N4083" s="338" t="s">
        <v>432</v>
      </c>
      <c r="O4083" s="338" t="s">
        <v>409</v>
      </c>
      <c r="P4083" s="338" t="s">
        <v>410</v>
      </c>
    </row>
    <row r="4084" spans="2:16" x14ac:dyDescent="0.25">
      <c r="B4084" s="336" t="s">
        <v>416</v>
      </c>
      <c r="C4084" s="337">
        <v>38831</v>
      </c>
      <c r="D4084" s="338" t="s">
        <v>2192</v>
      </c>
      <c r="E4084" s="336" t="s">
        <v>598</v>
      </c>
      <c r="F4084" s="338"/>
      <c r="G4084" s="338" t="s">
        <v>413</v>
      </c>
      <c r="H4084" s="338" t="s">
        <v>412</v>
      </c>
      <c r="I4084" s="338" t="s">
        <v>411</v>
      </c>
      <c r="J4084" s="339"/>
      <c r="K4084" s="339"/>
      <c r="L4084" s="339" t="s">
        <v>409</v>
      </c>
      <c r="M4084" s="339" t="s">
        <v>409</v>
      </c>
      <c r="N4084" s="338" t="s">
        <v>417</v>
      </c>
      <c r="O4084" s="338" t="s">
        <v>409</v>
      </c>
      <c r="P4084" s="338" t="s">
        <v>417</v>
      </c>
    </row>
    <row r="4085" spans="2:16" x14ac:dyDescent="0.25">
      <c r="B4085" s="336" t="s">
        <v>416</v>
      </c>
      <c r="C4085" s="337">
        <v>38831</v>
      </c>
      <c r="D4085" s="338" t="s">
        <v>2191</v>
      </c>
      <c r="E4085" s="336" t="s">
        <v>2190</v>
      </c>
      <c r="F4085" s="338"/>
      <c r="G4085" s="338">
        <v>37</v>
      </c>
      <c r="H4085" s="338" t="s">
        <v>425</v>
      </c>
      <c r="I4085" s="338" t="s">
        <v>411</v>
      </c>
      <c r="J4085" s="339"/>
      <c r="K4085" s="339"/>
      <c r="L4085" s="339" t="s">
        <v>409</v>
      </c>
      <c r="M4085" s="339" t="s">
        <v>409</v>
      </c>
      <c r="N4085" s="338"/>
      <c r="O4085" s="338" t="s">
        <v>409</v>
      </c>
      <c r="P4085" s="338" t="s">
        <v>417</v>
      </c>
    </row>
    <row r="4086" spans="2:16" x14ac:dyDescent="0.25">
      <c r="B4086" s="336" t="s">
        <v>416</v>
      </c>
      <c r="C4086" s="337">
        <v>38831</v>
      </c>
      <c r="D4086" s="338" t="s">
        <v>2189</v>
      </c>
      <c r="E4086" s="336" t="s">
        <v>2188</v>
      </c>
      <c r="F4086" s="338" t="s">
        <v>2104</v>
      </c>
      <c r="G4086" s="338">
        <v>0.04</v>
      </c>
      <c r="H4086" s="338" t="s">
        <v>425</v>
      </c>
      <c r="I4086" s="338" t="s">
        <v>411</v>
      </c>
      <c r="J4086" s="339"/>
      <c r="K4086" s="339"/>
      <c r="L4086" s="339">
        <v>297.97800000000001</v>
      </c>
      <c r="M4086" s="339"/>
      <c r="N4086" s="338"/>
      <c r="O4086" s="338" t="s">
        <v>410</v>
      </c>
      <c r="P4086" s="338" t="s">
        <v>487</v>
      </c>
    </row>
    <row r="4087" spans="2:16" x14ac:dyDescent="0.25">
      <c r="B4087" s="336" t="s">
        <v>416</v>
      </c>
      <c r="C4087" s="337">
        <v>38831</v>
      </c>
      <c r="D4087" s="338" t="s">
        <v>2187</v>
      </c>
      <c r="E4087" s="336" t="s">
        <v>2186</v>
      </c>
      <c r="F4087" s="338" t="s">
        <v>2185</v>
      </c>
      <c r="G4087" s="338">
        <v>20</v>
      </c>
      <c r="H4087" s="338" t="s">
        <v>336</v>
      </c>
      <c r="I4087" s="338" t="s">
        <v>411</v>
      </c>
      <c r="J4087" s="339"/>
      <c r="K4087" s="339"/>
      <c r="L4087" s="339"/>
      <c r="M4087" s="339"/>
      <c r="N4087" s="338" t="s">
        <v>482</v>
      </c>
      <c r="O4087" s="338" t="s">
        <v>482</v>
      </c>
      <c r="P4087" s="338" t="s">
        <v>482</v>
      </c>
    </row>
    <row r="4088" spans="2:16" x14ac:dyDescent="0.25">
      <c r="B4088" s="336" t="s">
        <v>416</v>
      </c>
      <c r="C4088" s="337">
        <v>38828</v>
      </c>
      <c r="D4088" s="338" t="s">
        <v>2184</v>
      </c>
      <c r="E4088" s="336" t="s">
        <v>2183</v>
      </c>
      <c r="F4088" s="338"/>
      <c r="G4088" s="338" t="s">
        <v>413</v>
      </c>
      <c r="H4088" s="338" t="s">
        <v>425</v>
      </c>
      <c r="I4088" s="338" t="s">
        <v>411</v>
      </c>
      <c r="J4088" s="339"/>
      <c r="K4088" s="339"/>
      <c r="L4088" s="339" t="s">
        <v>409</v>
      </c>
      <c r="M4088" s="339" t="s">
        <v>409</v>
      </c>
      <c r="N4088" s="338"/>
      <c r="O4088" s="338" t="s">
        <v>409</v>
      </c>
      <c r="P4088" s="338" t="s">
        <v>432</v>
      </c>
    </row>
    <row r="4089" spans="2:16" x14ac:dyDescent="0.25">
      <c r="B4089" s="336" t="s">
        <v>416</v>
      </c>
      <c r="C4089" s="337">
        <v>38828</v>
      </c>
      <c r="D4089" s="338" t="s">
        <v>2182</v>
      </c>
      <c r="E4089" s="336" t="s">
        <v>2181</v>
      </c>
      <c r="F4089" s="338" t="s">
        <v>2180</v>
      </c>
      <c r="G4089" s="338" t="s">
        <v>413</v>
      </c>
      <c r="H4089" s="338" t="s">
        <v>425</v>
      </c>
      <c r="I4089" s="338" t="s">
        <v>411</v>
      </c>
      <c r="J4089" s="339"/>
      <c r="K4089" s="339"/>
      <c r="L4089" s="339">
        <v>0.272901</v>
      </c>
      <c r="M4089" s="339">
        <v>8.2620799999999992</v>
      </c>
      <c r="N4089" s="338"/>
      <c r="O4089" s="338" t="s">
        <v>408</v>
      </c>
      <c r="P4089" s="338" t="s">
        <v>408</v>
      </c>
    </row>
    <row r="4090" spans="2:16" x14ac:dyDescent="0.25">
      <c r="B4090" s="336" t="s">
        <v>416</v>
      </c>
      <c r="C4090" s="337">
        <v>38827</v>
      </c>
      <c r="D4090" s="338" t="s">
        <v>2179</v>
      </c>
      <c r="E4090" s="336" t="s">
        <v>2178</v>
      </c>
      <c r="F4090" s="338"/>
      <c r="G4090" s="338" t="s">
        <v>413</v>
      </c>
      <c r="H4090" s="338" t="s">
        <v>425</v>
      </c>
      <c r="I4090" s="338" t="s">
        <v>411</v>
      </c>
      <c r="J4090" s="339"/>
      <c r="K4090" s="339"/>
      <c r="L4090" s="339" t="s">
        <v>409</v>
      </c>
      <c r="M4090" s="339" t="s">
        <v>409</v>
      </c>
      <c r="N4090" s="338" t="s">
        <v>417</v>
      </c>
      <c r="O4090" s="338" t="s">
        <v>409</v>
      </c>
      <c r="P4090" s="338" t="s">
        <v>443</v>
      </c>
    </row>
    <row r="4091" spans="2:16" x14ac:dyDescent="0.25">
      <c r="B4091" s="336" t="s">
        <v>416</v>
      </c>
      <c r="C4091" s="337">
        <v>38827</v>
      </c>
      <c r="D4091" s="338" t="s">
        <v>2177</v>
      </c>
      <c r="E4091" s="336" t="s">
        <v>2176</v>
      </c>
      <c r="F4091" s="338" t="s">
        <v>2175</v>
      </c>
      <c r="G4091" s="338">
        <v>1.76</v>
      </c>
      <c r="H4091" s="338" t="s">
        <v>425</v>
      </c>
      <c r="I4091" s="338" t="s">
        <v>411</v>
      </c>
      <c r="J4091" s="339"/>
      <c r="K4091" s="339"/>
      <c r="L4091" s="339"/>
      <c r="M4091" s="339"/>
      <c r="N4091" s="338" t="s">
        <v>432</v>
      </c>
      <c r="O4091" s="338" t="s">
        <v>432</v>
      </c>
      <c r="P4091" s="338" t="s">
        <v>543</v>
      </c>
    </row>
    <row r="4092" spans="2:16" x14ac:dyDescent="0.25">
      <c r="B4092" s="336" t="s">
        <v>416</v>
      </c>
      <c r="C4092" s="337">
        <v>38827</v>
      </c>
      <c r="D4092" s="338" t="s">
        <v>2174</v>
      </c>
      <c r="E4092" s="336" t="s">
        <v>2173</v>
      </c>
      <c r="F4092" s="338"/>
      <c r="G4092" s="338">
        <v>59.1</v>
      </c>
      <c r="H4092" s="338" t="s">
        <v>425</v>
      </c>
      <c r="I4092" s="338" t="s">
        <v>411</v>
      </c>
      <c r="J4092" s="339"/>
      <c r="K4092" s="339"/>
      <c r="L4092" s="339" t="s">
        <v>409</v>
      </c>
      <c r="M4092" s="339" t="s">
        <v>409</v>
      </c>
      <c r="N4092" s="338" t="s">
        <v>417</v>
      </c>
      <c r="O4092" s="338" t="s">
        <v>409</v>
      </c>
      <c r="P4092" s="338" t="s">
        <v>443</v>
      </c>
    </row>
    <row r="4093" spans="2:16" x14ac:dyDescent="0.25">
      <c r="B4093" s="336" t="s">
        <v>416</v>
      </c>
      <c r="C4093" s="337">
        <v>38826</v>
      </c>
      <c r="D4093" s="338" t="s">
        <v>2172</v>
      </c>
      <c r="E4093" s="336" t="s">
        <v>1279</v>
      </c>
      <c r="F4093" s="338"/>
      <c r="G4093" s="338" t="s">
        <v>413</v>
      </c>
      <c r="H4093" s="338" t="s">
        <v>412</v>
      </c>
      <c r="I4093" s="338" t="s">
        <v>411</v>
      </c>
      <c r="J4093" s="339"/>
      <c r="K4093" s="339"/>
      <c r="L4093" s="339" t="s">
        <v>409</v>
      </c>
      <c r="M4093" s="339" t="s">
        <v>409</v>
      </c>
      <c r="N4093" s="338" t="s">
        <v>487</v>
      </c>
      <c r="O4093" s="338" t="s">
        <v>409</v>
      </c>
      <c r="P4093" s="338" t="s">
        <v>408</v>
      </c>
    </row>
    <row r="4094" spans="2:16" x14ac:dyDescent="0.25">
      <c r="B4094" s="336" t="s">
        <v>416</v>
      </c>
      <c r="C4094" s="337">
        <v>38826</v>
      </c>
      <c r="D4094" s="338" t="s">
        <v>2171</v>
      </c>
      <c r="E4094" s="336" t="s">
        <v>2170</v>
      </c>
      <c r="F4094" s="338" t="s">
        <v>2169</v>
      </c>
      <c r="G4094" s="338" t="s">
        <v>413</v>
      </c>
      <c r="H4094" s="338" t="s">
        <v>425</v>
      </c>
      <c r="I4094" s="338" t="s">
        <v>411</v>
      </c>
      <c r="J4094" s="339"/>
      <c r="K4094" s="339"/>
      <c r="L4094" s="339"/>
      <c r="M4094" s="339"/>
      <c r="N4094" s="338"/>
      <c r="O4094" s="338" t="s">
        <v>417</v>
      </c>
      <c r="P4094" s="338" t="s">
        <v>432</v>
      </c>
    </row>
    <row r="4095" spans="2:16" x14ac:dyDescent="0.25">
      <c r="B4095" s="336" t="s">
        <v>416</v>
      </c>
      <c r="C4095" s="337">
        <v>38825</v>
      </c>
      <c r="D4095" s="338" t="s">
        <v>2168</v>
      </c>
      <c r="E4095" s="336" t="s">
        <v>2126</v>
      </c>
      <c r="F4095" s="338" t="s">
        <v>441</v>
      </c>
      <c r="G4095" s="338" t="s">
        <v>413</v>
      </c>
      <c r="H4095" s="338" t="s">
        <v>425</v>
      </c>
      <c r="I4095" s="338" t="s">
        <v>411</v>
      </c>
      <c r="J4095" s="339"/>
      <c r="K4095" s="339"/>
      <c r="L4095" s="339">
        <v>0.42579899999999998</v>
      </c>
      <c r="M4095" s="339">
        <v>10.369199999999999</v>
      </c>
      <c r="N4095" s="338"/>
      <c r="O4095" s="338" t="s">
        <v>417</v>
      </c>
      <c r="P4095" s="338" t="s">
        <v>443</v>
      </c>
    </row>
    <row r="4096" spans="2:16" x14ac:dyDescent="0.25">
      <c r="B4096" s="336" t="s">
        <v>416</v>
      </c>
      <c r="C4096" s="337">
        <v>38825</v>
      </c>
      <c r="D4096" s="338" t="s">
        <v>2167</v>
      </c>
      <c r="E4096" s="336" t="s">
        <v>656</v>
      </c>
      <c r="F4096" s="338"/>
      <c r="G4096" s="338" t="s">
        <v>413</v>
      </c>
      <c r="H4096" s="338" t="s">
        <v>412</v>
      </c>
      <c r="I4096" s="338" t="s">
        <v>411</v>
      </c>
      <c r="J4096" s="339"/>
      <c r="K4096" s="339"/>
      <c r="L4096" s="339" t="s">
        <v>409</v>
      </c>
      <c r="M4096" s="339" t="s">
        <v>409</v>
      </c>
      <c r="N4096" s="338" t="s">
        <v>417</v>
      </c>
      <c r="O4096" s="338" t="s">
        <v>409</v>
      </c>
      <c r="P4096" s="338" t="s">
        <v>408</v>
      </c>
    </row>
    <row r="4097" spans="2:16" x14ac:dyDescent="0.25">
      <c r="B4097" s="336" t="s">
        <v>416</v>
      </c>
      <c r="C4097" s="337">
        <v>38825</v>
      </c>
      <c r="D4097" s="338" t="s">
        <v>2166</v>
      </c>
      <c r="E4097" s="336" t="s">
        <v>656</v>
      </c>
      <c r="F4097" s="338"/>
      <c r="G4097" s="338" t="s">
        <v>413</v>
      </c>
      <c r="H4097" s="338" t="s">
        <v>412</v>
      </c>
      <c r="I4097" s="338" t="s">
        <v>411</v>
      </c>
      <c r="J4097" s="339"/>
      <c r="K4097" s="339"/>
      <c r="L4097" s="339" t="s">
        <v>409</v>
      </c>
      <c r="M4097" s="339" t="s">
        <v>409</v>
      </c>
      <c r="N4097" s="338" t="s">
        <v>417</v>
      </c>
      <c r="O4097" s="338" t="s">
        <v>409</v>
      </c>
      <c r="P4097" s="338" t="s">
        <v>408</v>
      </c>
    </row>
    <row r="4098" spans="2:16" x14ac:dyDescent="0.25">
      <c r="B4098" s="336" t="s">
        <v>416</v>
      </c>
      <c r="C4098" s="337">
        <v>38824</v>
      </c>
      <c r="D4098" s="338" t="s">
        <v>2165</v>
      </c>
      <c r="E4098" s="336" t="s">
        <v>742</v>
      </c>
      <c r="F4098" s="338" t="s">
        <v>516</v>
      </c>
      <c r="G4098" s="338" t="s">
        <v>413</v>
      </c>
      <c r="H4098" s="338" t="s">
        <v>412</v>
      </c>
      <c r="I4098" s="338" t="s">
        <v>411</v>
      </c>
      <c r="J4098" s="339"/>
      <c r="K4098" s="339"/>
      <c r="L4098" s="339"/>
      <c r="M4098" s="339"/>
      <c r="N4098" s="338"/>
      <c r="O4098" s="338" t="s">
        <v>417</v>
      </c>
      <c r="P4098" s="338" t="s">
        <v>417</v>
      </c>
    </row>
    <row r="4099" spans="2:16" x14ac:dyDescent="0.25">
      <c r="B4099" s="336" t="s">
        <v>416</v>
      </c>
      <c r="C4099" s="337">
        <v>38824</v>
      </c>
      <c r="D4099" s="338" t="s">
        <v>2164</v>
      </c>
      <c r="E4099" s="336" t="s">
        <v>2163</v>
      </c>
      <c r="F4099" s="338"/>
      <c r="G4099" s="338" t="s">
        <v>413</v>
      </c>
      <c r="H4099" s="338" t="s">
        <v>412</v>
      </c>
      <c r="I4099" s="338" t="s">
        <v>411</v>
      </c>
      <c r="J4099" s="339"/>
      <c r="K4099" s="339"/>
      <c r="L4099" s="339" t="s">
        <v>409</v>
      </c>
      <c r="M4099" s="339" t="s">
        <v>409</v>
      </c>
      <c r="N4099" s="338" t="s">
        <v>410</v>
      </c>
      <c r="O4099" s="338" t="s">
        <v>409</v>
      </c>
      <c r="P4099" s="338" t="s">
        <v>410</v>
      </c>
    </row>
    <row r="4100" spans="2:16" x14ac:dyDescent="0.25">
      <c r="B4100" s="336" t="s">
        <v>416</v>
      </c>
      <c r="C4100" s="337">
        <v>38824</v>
      </c>
      <c r="D4100" s="338" t="s">
        <v>2162</v>
      </c>
      <c r="E4100" s="336" t="s">
        <v>2024</v>
      </c>
      <c r="F4100" s="338"/>
      <c r="G4100" s="338">
        <v>192</v>
      </c>
      <c r="H4100" s="338" t="s">
        <v>425</v>
      </c>
      <c r="I4100" s="338" t="s">
        <v>411</v>
      </c>
      <c r="J4100" s="339"/>
      <c r="K4100" s="339"/>
      <c r="L4100" s="339" t="s">
        <v>409</v>
      </c>
      <c r="M4100" s="339" t="s">
        <v>409</v>
      </c>
      <c r="N4100" s="338" t="s">
        <v>417</v>
      </c>
      <c r="O4100" s="338" t="s">
        <v>409</v>
      </c>
      <c r="P4100" s="338" t="s">
        <v>417</v>
      </c>
    </row>
    <row r="4101" spans="2:16" x14ac:dyDescent="0.25">
      <c r="B4101" s="336" t="s">
        <v>541</v>
      </c>
      <c r="C4101" s="337">
        <v>38824</v>
      </c>
      <c r="D4101" s="338" t="s">
        <v>2161</v>
      </c>
      <c r="E4101" s="336" t="s">
        <v>539</v>
      </c>
      <c r="F4101" s="338" t="s">
        <v>2160</v>
      </c>
      <c r="G4101" s="338" t="s">
        <v>413</v>
      </c>
      <c r="H4101" s="338"/>
      <c r="I4101" s="338" t="s">
        <v>411</v>
      </c>
      <c r="J4101" s="339"/>
      <c r="K4101" s="339"/>
      <c r="L4101" s="339"/>
      <c r="M4101" s="339"/>
      <c r="N4101" s="338" t="s">
        <v>432</v>
      </c>
      <c r="O4101" s="338" t="s">
        <v>408</v>
      </c>
      <c r="P4101" s="338" t="s">
        <v>409</v>
      </c>
    </row>
    <row r="4102" spans="2:16" x14ac:dyDescent="0.25">
      <c r="B4102" s="336" t="s">
        <v>416</v>
      </c>
      <c r="C4102" s="337">
        <v>38824</v>
      </c>
      <c r="D4102" s="338" t="s">
        <v>2159</v>
      </c>
      <c r="E4102" s="336" t="s">
        <v>516</v>
      </c>
      <c r="F4102" s="338" t="s">
        <v>742</v>
      </c>
      <c r="G4102" s="338" t="s">
        <v>413</v>
      </c>
      <c r="H4102" s="338" t="s">
        <v>425</v>
      </c>
      <c r="I4102" s="338" t="s">
        <v>411</v>
      </c>
      <c r="J4102" s="339"/>
      <c r="K4102" s="339"/>
      <c r="L4102" s="339">
        <v>3.6272700000000002</v>
      </c>
      <c r="M4102" s="339">
        <v>19.650700000000001</v>
      </c>
      <c r="N4102" s="338"/>
      <c r="O4102" s="338" t="s">
        <v>417</v>
      </c>
      <c r="P4102" s="338" t="s">
        <v>417</v>
      </c>
    </row>
    <row r="4103" spans="2:16" x14ac:dyDescent="0.25">
      <c r="B4103" s="336" t="s">
        <v>416</v>
      </c>
      <c r="C4103" s="337">
        <v>38820</v>
      </c>
      <c r="D4103" s="338" t="s">
        <v>2158</v>
      </c>
      <c r="E4103" s="336" t="s">
        <v>2157</v>
      </c>
      <c r="F4103" s="338"/>
      <c r="G4103" s="338" t="s">
        <v>413</v>
      </c>
      <c r="H4103" s="338" t="s">
        <v>412</v>
      </c>
      <c r="I4103" s="338" t="s">
        <v>411</v>
      </c>
      <c r="J4103" s="339"/>
      <c r="K4103" s="339"/>
      <c r="L4103" s="339" t="s">
        <v>409</v>
      </c>
      <c r="M4103" s="339" t="s">
        <v>409</v>
      </c>
      <c r="N4103" s="338" t="s">
        <v>885</v>
      </c>
      <c r="O4103" s="338" t="s">
        <v>409</v>
      </c>
      <c r="P4103" s="338" t="s">
        <v>410</v>
      </c>
    </row>
    <row r="4104" spans="2:16" x14ac:dyDescent="0.25">
      <c r="B4104" s="336" t="s">
        <v>416</v>
      </c>
      <c r="C4104" s="337">
        <v>38820</v>
      </c>
      <c r="D4104" s="338" t="s">
        <v>2156</v>
      </c>
      <c r="E4104" s="336" t="s">
        <v>2155</v>
      </c>
      <c r="F4104" s="338"/>
      <c r="G4104" s="338" t="s">
        <v>413</v>
      </c>
      <c r="H4104" s="338" t="s">
        <v>412</v>
      </c>
      <c r="I4104" s="338" t="s">
        <v>411</v>
      </c>
      <c r="J4104" s="339"/>
      <c r="K4104" s="339"/>
      <c r="L4104" s="339" t="s">
        <v>409</v>
      </c>
      <c r="M4104" s="339" t="s">
        <v>409</v>
      </c>
      <c r="N4104" s="338" t="s">
        <v>417</v>
      </c>
      <c r="O4104" s="338" t="s">
        <v>409</v>
      </c>
      <c r="P4104" s="338" t="s">
        <v>443</v>
      </c>
    </row>
    <row r="4105" spans="2:16" x14ac:dyDescent="0.25">
      <c r="B4105" s="336" t="s">
        <v>416</v>
      </c>
      <c r="C4105" s="337">
        <v>38820</v>
      </c>
      <c r="D4105" s="338" t="s">
        <v>2154</v>
      </c>
      <c r="E4105" s="336" t="s">
        <v>2153</v>
      </c>
      <c r="F4105" s="338"/>
      <c r="G4105" s="338" t="s">
        <v>413</v>
      </c>
      <c r="H4105" s="338" t="s">
        <v>412</v>
      </c>
      <c r="I4105" s="338" t="s">
        <v>411</v>
      </c>
      <c r="J4105" s="339"/>
      <c r="K4105" s="339"/>
      <c r="L4105" s="339" t="s">
        <v>409</v>
      </c>
      <c r="M4105" s="339" t="s">
        <v>409</v>
      </c>
      <c r="N4105" s="338" t="s">
        <v>417</v>
      </c>
      <c r="O4105" s="338" t="s">
        <v>409</v>
      </c>
      <c r="P4105" s="338" t="s">
        <v>410</v>
      </c>
    </row>
    <row r="4106" spans="2:16" x14ac:dyDescent="0.25">
      <c r="B4106" s="336" t="s">
        <v>459</v>
      </c>
      <c r="C4106" s="337">
        <v>38820</v>
      </c>
      <c r="D4106" s="338" t="s">
        <v>1468</v>
      </c>
      <c r="E4106" s="336" t="s">
        <v>2152</v>
      </c>
      <c r="F4106" s="338"/>
      <c r="G4106" s="338">
        <v>150</v>
      </c>
      <c r="H4106" s="338" t="s">
        <v>425</v>
      </c>
      <c r="I4106" s="338" t="s">
        <v>411</v>
      </c>
      <c r="J4106" s="339"/>
      <c r="K4106" s="339"/>
      <c r="L4106" s="339" t="s">
        <v>409</v>
      </c>
      <c r="M4106" s="339" t="s">
        <v>409</v>
      </c>
      <c r="N4106" s="338" t="s">
        <v>432</v>
      </c>
      <c r="O4106" s="338" t="s">
        <v>409</v>
      </c>
      <c r="P4106" s="338"/>
    </row>
    <row r="4107" spans="2:16" x14ac:dyDescent="0.25">
      <c r="B4107" s="336" t="s">
        <v>416</v>
      </c>
      <c r="C4107" s="337">
        <v>38819</v>
      </c>
      <c r="D4107" s="338" t="s">
        <v>2151</v>
      </c>
      <c r="E4107" s="336" t="s">
        <v>2150</v>
      </c>
      <c r="F4107" s="338"/>
      <c r="G4107" s="338" t="s">
        <v>413</v>
      </c>
      <c r="H4107" s="338" t="s">
        <v>336</v>
      </c>
      <c r="I4107" s="338" t="s">
        <v>411</v>
      </c>
      <c r="J4107" s="339"/>
      <c r="K4107" s="339"/>
      <c r="L4107" s="339" t="s">
        <v>409</v>
      </c>
      <c r="M4107" s="339" t="s">
        <v>409</v>
      </c>
      <c r="N4107" s="338" t="s">
        <v>543</v>
      </c>
      <c r="O4107" s="338" t="s">
        <v>409</v>
      </c>
      <c r="P4107" s="338" t="s">
        <v>410</v>
      </c>
    </row>
    <row r="4108" spans="2:16" x14ac:dyDescent="0.25">
      <c r="B4108" s="336" t="s">
        <v>459</v>
      </c>
      <c r="C4108" s="337">
        <v>38819</v>
      </c>
      <c r="D4108" s="338" t="s">
        <v>558</v>
      </c>
      <c r="E4108" s="336" t="s">
        <v>2149</v>
      </c>
      <c r="F4108" s="338"/>
      <c r="G4108" s="338">
        <v>10</v>
      </c>
      <c r="H4108" s="338" t="s">
        <v>425</v>
      </c>
      <c r="I4108" s="338" t="s">
        <v>411</v>
      </c>
      <c r="J4108" s="339"/>
      <c r="K4108" s="339"/>
      <c r="L4108" s="339" t="s">
        <v>409</v>
      </c>
      <c r="M4108" s="339" t="s">
        <v>409</v>
      </c>
      <c r="N4108" s="338" t="s">
        <v>417</v>
      </c>
      <c r="O4108" s="338" t="s">
        <v>409</v>
      </c>
      <c r="P4108" s="338"/>
    </row>
    <row r="4109" spans="2:16" x14ac:dyDescent="0.25">
      <c r="B4109" s="336" t="s">
        <v>459</v>
      </c>
      <c r="C4109" s="337">
        <v>38819</v>
      </c>
      <c r="D4109" s="338" t="s">
        <v>2148</v>
      </c>
      <c r="E4109" s="336" t="s">
        <v>2147</v>
      </c>
      <c r="F4109" s="338"/>
      <c r="G4109" s="338">
        <v>1.89</v>
      </c>
      <c r="H4109" s="338" t="s">
        <v>425</v>
      </c>
      <c r="I4109" s="338" t="s">
        <v>411</v>
      </c>
      <c r="J4109" s="339"/>
      <c r="K4109" s="339"/>
      <c r="L4109" s="339" t="s">
        <v>409</v>
      </c>
      <c r="M4109" s="339" t="s">
        <v>409</v>
      </c>
      <c r="N4109" s="338" t="s">
        <v>605</v>
      </c>
      <c r="O4109" s="338" t="s">
        <v>409</v>
      </c>
      <c r="P4109" s="338" t="s">
        <v>417</v>
      </c>
    </row>
    <row r="4110" spans="2:16" x14ac:dyDescent="0.25">
      <c r="B4110" s="336" t="s">
        <v>416</v>
      </c>
      <c r="C4110" s="337">
        <v>38818</v>
      </c>
      <c r="D4110" s="338" t="s">
        <v>2146</v>
      </c>
      <c r="E4110" s="336" t="s">
        <v>468</v>
      </c>
      <c r="F4110" s="338" t="s">
        <v>2145</v>
      </c>
      <c r="G4110" s="338" t="s">
        <v>413</v>
      </c>
      <c r="H4110" s="338" t="s">
        <v>425</v>
      </c>
      <c r="I4110" s="338" t="s">
        <v>411</v>
      </c>
      <c r="J4110" s="339"/>
      <c r="K4110" s="339"/>
      <c r="L4110" s="339">
        <v>2.7736100000000001</v>
      </c>
      <c r="M4110" s="339">
        <v>15.3484</v>
      </c>
      <c r="N4110" s="338" t="s">
        <v>410</v>
      </c>
      <c r="O4110" s="338" t="s">
        <v>410</v>
      </c>
      <c r="P4110" s="338" t="s">
        <v>443</v>
      </c>
    </row>
    <row r="4111" spans="2:16" x14ac:dyDescent="0.25">
      <c r="B4111" s="336" t="s">
        <v>416</v>
      </c>
      <c r="C4111" s="337">
        <v>38818</v>
      </c>
      <c r="D4111" s="338" t="s">
        <v>2144</v>
      </c>
      <c r="E4111" s="336" t="s">
        <v>2143</v>
      </c>
      <c r="F4111" s="338"/>
      <c r="G4111" s="338">
        <v>50</v>
      </c>
      <c r="H4111" s="338" t="s">
        <v>425</v>
      </c>
      <c r="I4111" s="338" t="s">
        <v>411</v>
      </c>
      <c r="J4111" s="339"/>
      <c r="K4111" s="339"/>
      <c r="L4111" s="339" t="s">
        <v>409</v>
      </c>
      <c r="M4111" s="339" t="s">
        <v>409</v>
      </c>
      <c r="N4111" s="338"/>
      <c r="O4111" s="338" t="s">
        <v>409</v>
      </c>
      <c r="P4111" s="338" t="s">
        <v>432</v>
      </c>
    </row>
    <row r="4112" spans="2:16" x14ac:dyDescent="0.25">
      <c r="B4112" s="336" t="s">
        <v>416</v>
      </c>
      <c r="C4112" s="337">
        <v>38818</v>
      </c>
      <c r="D4112" s="338" t="s">
        <v>2142</v>
      </c>
      <c r="E4112" s="336" t="s">
        <v>441</v>
      </c>
      <c r="F4112" s="338" t="s">
        <v>2141</v>
      </c>
      <c r="G4112" s="338" t="s">
        <v>413</v>
      </c>
      <c r="H4112" s="338" t="s">
        <v>425</v>
      </c>
      <c r="I4112" s="338" t="s">
        <v>411</v>
      </c>
      <c r="J4112" s="339"/>
      <c r="K4112" s="339"/>
      <c r="L4112" s="339"/>
      <c r="M4112" s="339"/>
      <c r="N4112" s="338"/>
      <c r="O4112" s="338" t="s">
        <v>417</v>
      </c>
      <c r="P4112" s="338" t="s">
        <v>417</v>
      </c>
    </row>
    <row r="4113" spans="2:16" x14ac:dyDescent="0.25">
      <c r="B4113" s="336" t="s">
        <v>459</v>
      </c>
      <c r="C4113" s="337">
        <v>38817</v>
      </c>
      <c r="D4113" s="338" t="s">
        <v>540</v>
      </c>
      <c r="E4113" s="336" t="s">
        <v>1260</v>
      </c>
      <c r="F4113" s="338" t="s">
        <v>2140</v>
      </c>
      <c r="G4113" s="338" t="s">
        <v>413</v>
      </c>
      <c r="H4113" s="338" t="s">
        <v>412</v>
      </c>
      <c r="I4113" s="338" t="s">
        <v>411</v>
      </c>
      <c r="J4113" s="339">
        <v>0.64216099999999998</v>
      </c>
      <c r="K4113" s="339">
        <v>7.1605400000000001</v>
      </c>
      <c r="L4113" s="339"/>
      <c r="M4113" s="339"/>
      <c r="N4113" s="338" t="s">
        <v>417</v>
      </c>
      <c r="O4113" s="338" t="s">
        <v>543</v>
      </c>
      <c r="P4113" s="338" t="s">
        <v>443</v>
      </c>
    </row>
    <row r="4114" spans="2:16" x14ac:dyDescent="0.25">
      <c r="B4114" s="336" t="s">
        <v>416</v>
      </c>
      <c r="C4114" s="337">
        <v>38814</v>
      </c>
      <c r="D4114" s="338" t="s">
        <v>2139</v>
      </c>
      <c r="E4114" s="336" t="s">
        <v>2000</v>
      </c>
      <c r="F4114" s="338" t="s">
        <v>2138</v>
      </c>
      <c r="G4114" s="338">
        <v>5.3</v>
      </c>
      <c r="H4114" s="338" t="s">
        <v>425</v>
      </c>
      <c r="I4114" s="338" t="s">
        <v>411</v>
      </c>
      <c r="J4114" s="339"/>
      <c r="K4114" s="339"/>
      <c r="L4114" s="339"/>
      <c r="M4114" s="339"/>
      <c r="N4114" s="338"/>
      <c r="O4114" s="338" t="s">
        <v>443</v>
      </c>
      <c r="P4114" s="338" t="s">
        <v>417</v>
      </c>
    </row>
    <row r="4115" spans="2:16" x14ac:dyDescent="0.25">
      <c r="B4115" s="336" t="s">
        <v>416</v>
      </c>
      <c r="C4115" s="337">
        <v>38814</v>
      </c>
      <c r="D4115" s="338" t="s">
        <v>2137</v>
      </c>
      <c r="E4115" s="336" t="s">
        <v>2136</v>
      </c>
      <c r="F4115" s="338"/>
      <c r="G4115" s="338">
        <v>3.6</v>
      </c>
      <c r="H4115" s="338" t="s">
        <v>425</v>
      </c>
      <c r="I4115" s="338" t="s">
        <v>411</v>
      </c>
      <c r="J4115" s="339"/>
      <c r="K4115" s="339"/>
      <c r="L4115" s="339" t="s">
        <v>409</v>
      </c>
      <c r="M4115" s="339" t="s">
        <v>409</v>
      </c>
      <c r="N4115" s="338"/>
      <c r="O4115" s="338" t="s">
        <v>409</v>
      </c>
      <c r="P4115" s="338" t="s">
        <v>417</v>
      </c>
    </row>
    <row r="4116" spans="2:16" x14ac:dyDescent="0.25">
      <c r="B4116" s="336" t="s">
        <v>416</v>
      </c>
      <c r="C4116" s="337">
        <v>38814</v>
      </c>
      <c r="D4116" s="338" t="s">
        <v>2135</v>
      </c>
      <c r="E4116" s="336" t="s">
        <v>825</v>
      </c>
      <c r="F4116" s="338" t="s">
        <v>2134</v>
      </c>
      <c r="G4116" s="338">
        <v>4.5999999999999996</v>
      </c>
      <c r="H4116" s="338" t="s">
        <v>425</v>
      </c>
      <c r="I4116" s="338" t="s">
        <v>411</v>
      </c>
      <c r="J4116" s="339"/>
      <c r="K4116" s="339"/>
      <c r="L4116" s="339"/>
      <c r="M4116" s="339"/>
      <c r="N4116" s="338"/>
      <c r="O4116" s="338" t="s">
        <v>410</v>
      </c>
      <c r="P4116" s="338" t="s">
        <v>417</v>
      </c>
    </row>
    <row r="4117" spans="2:16" x14ac:dyDescent="0.25">
      <c r="B4117" s="336" t="s">
        <v>541</v>
      </c>
      <c r="C4117" s="337">
        <v>38813</v>
      </c>
      <c r="D4117" s="338" t="s">
        <v>988</v>
      </c>
      <c r="E4117" s="336" t="s">
        <v>539</v>
      </c>
      <c r="F4117" s="338" t="s">
        <v>989</v>
      </c>
      <c r="G4117" s="338">
        <v>0.15</v>
      </c>
      <c r="H4117" s="338"/>
      <c r="I4117" s="338" t="s">
        <v>411</v>
      </c>
      <c r="J4117" s="339"/>
      <c r="K4117" s="339"/>
      <c r="L4117" s="339">
        <v>1.6005799999999999</v>
      </c>
      <c r="M4117" s="339"/>
      <c r="N4117" s="338" t="s">
        <v>417</v>
      </c>
      <c r="O4117" s="338" t="s">
        <v>605</v>
      </c>
      <c r="P4117" s="338" t="s">
        <v>409</v>
      </c>
    </row>
    <row r="4118" spans="2:16" x14ac:dyDescent="0.25">
      <c r="B4118" s="336" t="s">
        <v>416</v>
      </c>
      <c r="C4118" s="337">
        <v>38812</v>
      </c>
      <c r="D4118" s="338" t="s">
        <v>956</v>
      </c>
      <c r="E4118" s="336" t="s">
        <v>2133</v>
      </c>
      <c r="F4118" s="338"/>
      <c r="G4118" s="338">
        <v>12</v>
      </c>
      <c r="H4118" s="338" t="s">
        <v>425</v>
      </c>
      <c r="I4118" s="338" t="s">
        <v>411</v>
      </c>
      <c r="J4118" s="339"/>
      <c r="K4118" s="339"/>
      <c r="L4118" s="339" t="s">
        <v>409</v>
      </c>
      <c r="M4118" s="339" t="s">
        <v>409</v>
      </c>
      <c r="N4118" s="338"/>
      <c r="O4118" s="338" t="s">
        <v>409</v>
      </c>
      <c r="P4118" s="338" t="s">
        <v>417</v>
      </c>
    </row>
    <row r="4119" spans="2:16" x14ac:dyDescent="0.25">
      <c r="B4119" s="336" t="s">
        <v>416</v>
      </c>
      <c r="C4119" s="337">
        <v>38812</v>
      </c>
      <c r="D4119" s="338" t="s">
        <v>2132</v>
      </c>
      <c r="E4119" s="336" t="s">
        <v>2131</v>
      </c>
      <c r="F4119" s="338"/>
      <c r="G4119" s="338">
        <v>1.34</v>
      </c>
      <c r="H4119" s="338" t="s">
        <v>336</v>
      </c>
      <c r="I4119" s="338" t="s">
        <v>411</v>
      </c>
      <c r="J4119" s="339"/>
      <c r="K4119" s="339"/>
      <c r="L4119" s="339" t="s">
        <v>409</v>
      </c>
      <c r="M4119" s="339" t="s">
        <v>409</v>
      </c>
      <c r="N4119" s="338" t="s">
        <v>417</v>
      </c>
      <c r="O4119" s="338" t="s">
        <v>409</v>
      </c>
      <c r="P4119" s="338" t="s">
        <v>605</v>
      </c>
    </row>
    <row r="4120" spans="2:16" x14ac:dyDescent="0.25">
      <c r="B4120" s="336" t="s">
        <v>416</v>
      </c>
      <c r="C4120" s="337">
        <v>38811</v>
      </c>
      <c r="D4120" s="338" t="s">
        <v>2130</v>
      </c>
      <c r="E4120" s="336" t="s">
        <v>2129</v>
      </c>
      <c r="F4120" s="338"/>
      <c r="G4120" s="338" t="s">
        <v>413</v>
      </c>
      <c r="H4120" s="338" t="s">
        <v>412</v>
      </c>
      <c r="I4120" s="338" t="s">
        <v>411</v>
      </c>
      <c r="J4120" s="339"/>
      <c r="K4120" s="339"/>
      <c r="L4120" s="339" t="s">
        <v>409</v>
      </c>
      <c r="M4120" s="339" t="s">
        <v>409</v>
      </c>
      <c r="N4120" s="338" t="s">
        <v>432</v>
      </c>
      <c r="O4120" s="338" t="s">
        <v>409</v>
      </c>
      <c r="P4120" s="338"/>
    </row>
    <row r="4121" spans="2:16" x14ac:dyDescent="0.25">
      <c r="B4121" s="336" t="s">
        <v>416</v>
      </c>
      <c r="C4121" s="337">
        <v>38810</v>
      </c>
      <c r="D4121" s="338" t="s">
        <v>2128</v>
      </c>
      <c r="E4121" s="336" t="s">
        <v>1890</v>
      </c>
      <c r="F4121" s="338"/>
      <c r="G4121" s="338">
        <v>45.72</v>
      </c>
      <c r="H4121" s="338" t="s">
        <v>429</v>
      </c>
      <c r="I4121" s="338" t="s">
        <v>411</v>
      </c>
      <c r="J4121" s="339"/>
      <c r="K4121" s="339"/>
      <c r="L4121" s="339" t="s">
        <v>409</v>
      </c>
      <c r="M4121" s="339" t="s">
        <v>409</v>
      </c>
      <c r="N4121" s="338" t="s">
        <v>417</v>
      </c>
      <c r="O4121" s="338" t="s">
        <v>409</v>
      </c>
      <c r="P4121" s="338" t="s">
        <v>417</v>
      </c>
    </row>
    <row r="4122" spans="2:16" x14ac:dyDescent="0.25">
      <c r="B4122" s="336" t="s">
        <v>416</v>
      </c>
      <c r="C4122" s="337">
        <v>38810</v>
      </c>
      <c r="D4122" s="338" t="s">
        <v>2127</v>
      </c>
      <c r="E4122" s="336" t="s">
        <v>2126</v>
      </c>
      <c r="F4122" s="338" t="s">
        <v>2125</v>
      </c>
      <c r="G4122" s="338">
        <v>39.6</v>
      </c>
      <c r="H4122" s="338" t="s">
        <v>425</v>
      </c>
      <c r="I4122" s="338" t="s">
        <v>411</v>
      </c>
      <c r="J4122" s="339"/>
      <c r="K4122" s="339"/>
      <c r="L4122" s="339"/>
      <c r="M4122" s="339"/>
      <c r="N4122" s="338"/>
      <c r="O4122" s="338" t="s">
        <v>443</v>
      </c>
      <c r="P4122" s="338" t="s">
        <v>443</v>
      </c>
    </row>
    <row r="4123" spans="2:16" x14ac:dyDescent="0.25">
      <c r="B4123" s="336" t="s">
        <v>416</v>
      </c>
      <c r="C4123" s="337">
        <v>38810</v>
      </c>
      <c r="D4123" s="338" t="s">
        <v>2124</v>
      </c>
      <c r="E4123" s="336" t="s">
        <v>653</v>
      </c>
      <c r="F4123" s="338"/>
      <c r="G4123" s="338" t="s">
        <v>413</v>
      </c>
      <c r="H4123" s="338" t="s">
        <v>425</v>
      </c>
      <c r="I4123" s="338" t="s">
        <v>411</v>
      </c>
      <c r="J4123" s="339"/>
      <c r="K4123" s="339"/>
      <c r="L4123" s="339" t="s">
        <v>409</v>
      </c>
      <c r="M4123" s="339" t="s">
        <v>409</v>
      </c>
      <c r="N4123" s="338"/>
      <c r="O4123" s="338" t="s">
        <v>409</v>
      </c>
      <c r="P4123" s="338" t="s">
        <v>417</v>
      </c>
    </row>
    <row r="4124" spans="2:16" x14ac:dyDescent="0.25">
      <c r="B4124" s="336" t="s">
        <v>416</v>
      </c>
      <c r="C4124" s="337">
        <v>38810</v>
      </c>
      <c r="D4124" s="338" t="s">
        <v>2123</v>
      </c>
      <c r="E4124" s="336" t="s">
        <v>2122</v>
      </c>
      <c r="F4124" s="338"/>
      <c r="G4124" s="338" t="s">
        <v>413</v>
      </c>
      <c r="H4124" s="338" t="s">
        <v>425</v>
      </c>
      <c r="I4124" s="338" t="s">
        <v>411</v>
      </c>
      <c r="J4124" s="339"/>
      <c r="K4124" s="339"/>
      <c r="L4124" s="339" t="s">
        <v>409</v>
      </c>
      <c r="M4124" s="339" t="s">
        <v>409</v>
      </c>
      <c r="N4124" s="338"/>
      <c r="O4124" s="338" t="s">
        <v>409</v>
      </c>
      <c r="P4124" s="338" t="s">
        <v>487</v>
      </c>
    </row>
    <row r="4125" spans="2:16" x14ac:dyDescent="0.25">
      <c r="B4125" s="336" t="s">
        <v>416</v>
      </c>
      <c r="C4125" s="337">
        <v>38807</v>
      </c>
      <c r="D4125" s="338" t="s">
        <v>2121</v>
      </c>
      <c r="E4125" s="336" t="s">
        <v>2120</v>
      </c>
      <c r="F4125" s="338" t="s">
        <v>2119</v>
      </c>
      <c r="G4125" s="338">
        <v>61.5</v>
      </c>
      <c r="H4125" s="338" t="s">
        <v>425</v>
      </c>
      <c r="I4125" s="338" t="s">
        <v>411</v>
      </c>
      <c r="J4125" s="339"/>
      <c r="K4125" s="339"/>
      <c r="L4125" s="339">
        <v>1.0057</v>
      </c>
      <c r="M4125" s="339">
        <v>8.2346900000000005</v>
      </c>
      <c r="N4125" s="338" t="s">
        <v>417</v>
      </c>
      <c r="O4125" s="338" t="s">
        <v>417</v>
      </c>
      <c r="P4125" s="338"/>
    </row>
    <row r="4126" spans="2:16" x14ac:dyDescent="0.25">
      <c r="B4126" s="336" t="s">
        <v>416</v>
      </c>
      <c r="C4126" s="337">
        <v>38807</v>
      </c>
      <c r="D4126" s="338" t="s">
        <v>2118</v>
      </c>
      <c r="E4126" s="336" t="s">
        <v>716</v>
      </c>
      <c r="F4126" s="338"/>
      <c r="G4126" s="338" t="s">
        <v>413</v>
      </c>
      <c r="H4126" s="338" t="s">
        <v>412</v>
      </c>
      <c r="I4126" s="338" t="s">
        <v>411</v>
      </c>
      <c r="J4126" s="339"/>
      <c r="K4126" s="339"/>
      <c r="L4126" s="339" t="s">
        <v>409</v>
      </c>
      <c r="M4126" s="339" t="s">
        <v>409</v>
      </c>
      <c r="N4126" s="338" t="s">
        <v>417</v>
      </c>
      <c r="O4126" s="338" t="s">
        <v>409</v>
      </c>
      <c r="P4126" s="338" t="s">
        <v>443</v>
      </c>
    </row>
    <row r="4127" spans="2:16" x14ac:dyDescent="0.25">
      <c r="B4127" s="336" t="s">
        <v>459</v>
      </c>
      <c r="C4127" s="337">
        <v>38806</v>
      </c>
      <c r="D4127" s="338" t="s">
        <v>2117</v>
      </c>
      <c r="E4127" s="336" t="s">
        <v>2007</v>
      </c>
      <c r="F4127" s="338"/>
      <c r="G4127" s="338" t="s">
        <v>413</v>
      </c>
      <c r="H4127" s="338" t="s">
        <v>412</v>
      </c>
      <c r="I4127" s="338" t="s">
        <v>411</v>
      </c>
      <c r="J4127" s="339"/>
      <c r="K4127" s="339"/>
      <c r="L4127" s="339" t="s">
        <v>409</v>
      </c>
      <c r="M4127" s="339" t="s">
        <v>409</v>
      </c>
      <c r="N4127" s="338" t="s">
        <v>417</v>
      </c>
      <c r="O4127" s="338" t="s">
        <v>409</v>
      </c>
      <c r="P4127" s="338" t="s">
        <v>417</v>
      </c>
    </row>
    <row r="4128" spans="2:16" x14ac:dyDescent="0.25">
      <c r="B4128" s="336" t="s">
        <v>416</v>
      </c>
      <c r="C4128" s="337">
        <v>38805</v>
      </c>
      <c r="D4128" s="338" t="s">
        <v>2116</v>
      </c>
      <c r="E4128" s="336" t="s">
        <v>2115</v>
      </c>
      <c r="F4128" s="338"/>
      <c r="G4128" s="338" t="s">
        <v>413</v>
      </c>
      <c r="H4128" s="338" t="s">
        <v>425</v>
      </c>
      <c r="I4128" s="338" t="s">
        <v>411</v>
      </c>
      <c r="J4128" s="339"/>
      <c r="K4128" s="339"/>
      <c r="L4128" s="339" t="s">
        <v>409</v>
      </c>
      <c r="M4128" s="339" t="s">
        <v>409</v>
      </c>
      <c r="N4128" s="338"/>
      <c r="O4128" s="338" t="s">
        <v>409</v>
      </c>
      <c r="P4128" s="338" t="s">
        <v>443</v>
      </c>
    </row>
    <row r="4129" spans="2:16" x14ac:dyDescent="0.25">
      <c r="B4129" s="336" t="s">
        <v>416</v>
      </c>
      <c r="C4129" s="337">
        <v>38805</v>
      </c>
      <c r="D4129" s="338" t="s">
        <v>2114</v>
      </c>
      <c r="E4129" s="336" t="s">
        <v>781</v>
      </c>
      <c r="F4129" s="338"/>
      <c r="G4129" s="338" t="s">
        <v>413</v>
      </c>
      <c r="H4129" s="338" t="s">
        <v>336</v>
      </c>
      <c r="I4129" s="338" t="s">
        <v>411</v>
      </c>
      <c r="J4129" s="339"/>
      <c r="K4129" s="339"/>
      <c r="L4129" s="339" t="s">
        <v>409</v>
      </c>
      <c r="M4129" s="339" t="s">
        <v>409</v>
      </c>
      <c r="N4129" s="338" t="s">
        <v>417</v>
      </c>
      <c r="O4129" s="338" t="s">
        <v>409</v>
      </c>
      <c r="P4129" s="338" t="s">
        <v>605</v>
      </c>
    </row>
    <row r="4130" spans="2:16" x14ac:dyDescent="0.25">
      <c r="B4130" s="336" t="s">
        <v>416</v>
      </c>
      <c r="C4130" s="337">
        <v>38805</v>
      </c>
      <c r="D4130" s="338" t="s">
        <v>2113</v>
      </c>
      <c r="E4130" s="336" t="s">
        <v>1371</v>
      </c>
      <c r="F4130" s="338"/>
      <c r="G4130" s="338">
        <v>2.8</v>
      </c>
      <c r="H4130" s="338" t="s">
        <v>425</v>
      </c>
      <c r="I4130" s="338" t="s">
        <v>411</v>
      </c>
      <c r="J4130" s="339"/>
      <c r="K4130" s="339"/>
      <c r="L4130" s="339" t="s">
        <v>409</v>
      </c>
      <c r="M4130" s="339" t="s">
        <v>409</v>
      </c>
      <c r="N4130" s="338" t="s">
        <v>417</v>
      </c>
      <c r="O4130" s="338" t="s">
        <v>409</v>
      </c>
      <c r="P4130" s="338" t="s">
        <v>417</v>
      </c>
    </row>
    <row r="4131" spans="2:16" x14ac:dyDescent="0.25">
      <c r="B4131" s="336" t="s">
        <v>416</v>
      </c>
      <c r="C4131" s="337">
        <v>38805</v>
      </c>
      <c r="D4131" s="338" t="s">
        <v>2112</v>
      </c>
      <c r="E4131" s="336" t="s">
        <v>544</v>
      </c>
      <c r="F4131" s="338"/>
      <c r="G4131" s="338">
        <v>0.9</v>
      </c>
      <c r="H4131" s="338" t="s">
        <v>425</v>
      </c>
      <c r="I4131" s="338" t="s">
        <v>411</v>
      </c>
      <c r="J4131" s="339"/>
      <c r="K4131" s="339"/>
      <c r="L4131" s="339" t="s">
        <v>409</v>
      </c>
      <c r="M4131" s="339" t="s">
        <v>409</v>
      </c>
      <c r="N4131" s="338"/>
      <c r="O4131" s="338" t="s">
        <v>409</v>
      </c>
      <c r="P4131" s="338" t="s">
        <v>543</v>
      </c>
    </row>
    <row r="4132" spans="2:16" x14ac:dyDescent="0.25">
      <c r="B4132" s="336" t="s">
        <v>416</v>
      </c>
      <c r="C4132" s="337">
        <v>38804</v>
      </c>
      <c r="D4132" s="338" t="s">
        <v>2111</v>
      </c>
      <c r="E4132" s="336" t="s">
        <v>2110</v>
      </c>
      <c r="F4132" s="338" t="s">
        <v>2109</v>
      </c>
      <c r="G4132" s="338">
        <v>26</v>
      </c>
      <c r="H4132" s="338" t="s">
        <v>425</v>
      </c>
      <c r="I4132" s="338" t="s">
        <v>411</v>
      </c>
      <c r="J4132" s="339"/>
      <c r="K4132" s="339"/>
      <c r="L4132" s="339"/>
      <c r="M4132" s="339"/>
      <c r="N4132" s="338"/>
      <c r="O4132" s="338" t="s">
        <v>417</v>
      </c>
      <c r="P4132" s="338" t="s">
        <v>408</v>
      </c>
    </row>
    <row r="4133" spans="2:16" x14ac:dyDescent="0.25">
      <c r="B4133" s="336" t="s">
        <v>416</v>
      </c>
      <c r="C4133" s="337">
        <v>38804</v>
      </c>
      <c r="D4133" s="338" t="s">
        <v>2108</v>
      </c>
      <c r="E4133" s="336" t="s">
        <v>2107</v>
      </c>
      <c r="F4133" s="338" t="s">
        <v>2106</v>
      </c>
      <c r="G4133" s="338" t="s">
        <v>413</v>
      </c>
      <c r="H4133" s="338" t="s">
        <v>412</v>
      </c>
      <c r="I4133" s="338" t="s">
        <v>411</v>
      </c>
      <c r="J4133" s="339"/>
      <c r="K4133" s="339"/>
      <c r="L4133" s="339">
        <v>1.12266</v>
      </c>
      <c r="M4133" s="339">
        <v>9.8546200000000006</v>
      </c>
      <c r="N4133" s="338" t="s">
        <v>417</v>
      </c>
      <c r="O4133" s="338" t="s">
        <v>487</v>
      </c>
      <c r="P4133" s="338" t="s">
        <v>487</v>
      </c>
    </row>
    <row r="4134" spans="2:16" x14ac:dyDescent="0.25">
      <c r="B4134" s="336" t="s">
        <v>416</v>
      </c>
      <c r="C4134" s="337">
        <v>38804</v>
      </c>
      <c r="D4134" s="338" t="s">
        <v>2105</v>
      </c>
      <c r="E4134" s="336" t="s">
        <v>2104</v>
      </c>
      <c r="F4134" s="338"/>
      <c r="G4134" s="338">
        <v>16.13</v>
      </c>
      <c r="H4134" s="338" t="s">
        <v>336</v>
      </c>
      <c r="I4134" s="338" t="s">
        <v>411</v>
      </c>
      <c r="J4134" s="339"/>
      <c r="K4134" s="339"/>
      <c r="L4134" s="339" t="s">
        <v>409</v>
      </c>
      <c r="M4134" s="339" t="s">
        <v>409</v>
      </c>
      <c r="N4134" s="338" t="s">
        <v>410</v>
      </c>
      <c r="O4134" s="338" t="s">
        <v>409</v>
      </c>
      <c r="P4134" s="338" t="s">
        <v>410</v>
      </c>
    </row>
    <row r="4135" spans="2:16" x14ac:dyDescent="0.25">
      <c r="B4135" s="336" t="s">
        <v>416</v>
      </c>
      <c r="C4135" s="337">
        <v>38803</v>
      </c>
      <c r="D4135" s="338" t="s">
        <v>2103</v>
      </c>
      <c r="E4135" s="336" t="s">
        <v>2102</v>
      </c>
      <c r="F4135" s="338" t="s">
        <v>980</v>
      </c>
      <c r="G4135" s="338" t="s">
        <v>413</v>
      </c>
      <c r="H4135" s="338" t="s">
        <v>425</v>
      </c>
      <c r="I4135" s="338" t="s">
        <v>411</v>
      </c>
      <c r="J4135" s="339"/>
      <c r="K4135" s="339"/>
      <c r="L4135" s="339">
        <v>0.87109899999999996</v>
      </c>
      <c r="M4135" s="339">
        <v>6.4264900000000003</v>
      </c>
      <c r="N4135" s="338"/>
      <c r="O4135" s="338" t="s">
        <v>417</v>
      </c>
      <c r="P4135" s="338" t="s">
        <v>417</v>
      </c>
    </row>
    <row r="4136" spans="2:16" x14ac:dyDescent="0.25">
      <c r="B4136" s="336" t="s">
        <v>416</v>
      </c>
      <c r="C4136" s="337">
        <v>38800</v>
      </c>
      <c r="D4136" s="338" t="s">
        <v>2101</v>
      </c>
      <c r="E4136" s="336" t="s">
        <v>2100</v>
      </c>
      <c r="F4136" s="338"/>
      <c r="G4136" s="338">
        <v>6.28</v>
      </c>
      <c r="H4136" s="338" t="s">
        <v>425</v>
      </c>
      <c r="I4136" s="338" t="s">
        <v>411</v>
      </c>
      <c r="J4136" s="339">
        <v>0.33893099999999998</v>
      </c>
      <c r="K4136" s="339">
        <v>4.5979900000000002</v>
      </c>
      <c r="L4136" s="339" t="s">
        <v>409</v>
      </c>
      <c r="M4136" s="339" t="s">
        <v>409</v>
      </c>
      <c r="N4136" s="338" t="s">
        <v>417</v>
      </c>
      <c r="O4136" s="338" t="s">
        <v>409</v>
      </c>
      <c r="P4136" s="338"/>
    </row>
    <row r="4137" spans="2:16" x14ac:dyDescent="0.25">
      <c r="B4137" s="336" t="s">
        <v>416</v>
      </c>
      <c r="C4137" s="337">
        <v>38800</v>
      </c>
      <c r="D4137" s="338" t="s">
        <v>2099</v>
      </c>
      <c r="E4137" s="336" t="s">
        <v>1107</v>
      </c>
      <c r="F4137" s="338"/>
      <c r="G4137" s="338">
        <v>67.5</v>
      </c>
      <c r="H4137" s="338" t="s">
        <v>425</v>
      </c>
      <c r="I4137" s="338" t="s">
        <v>411</v>
      </c>
      <c r="J4137" s="339"/>
      <c r="K4137" s="339"/>
      <c r="L4137" s="339" t="s">
        <v>409</v>
      </c>
      <c r="M4137" s="339" t="s">
        <v>409</v>
      </c>
      <c r="N4137" s="338" t="s">
        <v>417</v>
      </c>
      <c r="O4137" s="338" t="s">
        <v>409</v>
      </c>
      <c r="P4137" s="338" t="s">
        <v>417</v>
      </c>
    </row>
    <row r="4138" spans="2:16" x14ac:dyDescent="0.25">
      <c r="B4138" s="336" t="s">
        <v>416</v>
      </c>
      <c r="C4138" s="337">
        <v>38799</v>
      </c>
      <c r="D4138" s="338" t="s">
        <v>2098</v>
      </c>
      <c r="E4138" s="336" t="s">
        <v>889</v>
      </c>
      <c r="F4138" s="338"/>
      <c r="G4138" s="338" t="s">
        <v>413</v>
      </c>
      <c r="H4138" s="338" t="s">
        <v>412</v>
      </c>
      <c r="I4138" s="338" t="s">
        <v>411</v>
      </c>
      <c r="J4138" s="339"/>
      <c r="K4138" s="339"/>
      <c r="L4138" s="339" t="s">
        <v>409</v>
      </c>
      <c r="M4138" s="339" t="s">
        <v>409</v>
      </c>
      <c r="N4138" s="338" t="s">
        <v>487</v>
      </c>
      <c r="O4138" s="338" t="s">
        <v>409</v>
      </c>
      <c r="P4138" s="338" t="s">
        <v>410</v>
      </c>
    </row>
    <row r="4139" spans="2:16" x14ac:dyDescent="0.25">
      <c r="B4139" s="336" t="s">
        <v>416</v>
      </c>
      <c r="C4139" s="337">
        <v>38798</v>
      </c>
      <c r="D4139" s="338" t="s">
        <v>2097</v>
      </c>
      <c r="E4139" s="336" t="s">
        <v>2096</v>
      </c>
      <c r="F4139" s="338" t="s">
        <v>1632</v>
      </c>
      <c r="G4139" s="338">
        <v>1.27</v>
      </c>
      <c r="H4139" s="338" t="s">
        <v>336</v>
      </c>
      <c r="I4139" s="338" t="s">
        <v>411</v>
      </c>
      <c r="J4139" s="339"/>
      <c r="K4139" s="339"/>
      <c r="L4139" s="339"/>
      <c r="M4139" s="339"/>
      <c r="N4139" s="338" t="s">
        <v>432</v>
      </c>
      <c r="O4139" s="338" t="s">
        <v>417</v>
      </c>
      <c r="P4139" s="338" t="s">
        <v>432</v>
      </c>
    </row>
    <row r="4140" spans="2:16" x14ac:dyDescent="0.25">
      <c r="B4140" s="336" t="s">
        <v>416</v>
      </c>
      <c r="C4140" s="337">
        <v>38797</v>
      </c>
      <c r="D4140" s="338" t="s">
        <v>2095</v>
      </c>
      <c r="E4140" s="336" t="s">
        <v>1373</v>
      </c>
      <c r="F4140" s="338"/>
      <c r="G4140" s="338">
        <v>100</v>
      </c>
      <c r="H4140" s="338" t="s">
        <v>425</v>
      </c>
      <c r="I4140" s="338" t="s">
        <v>411</v>
      </c>
      <c r="J4140" s="339"/>
      <c r="K4140" s="339"/>
      <c r="L4140" s="339" t="s">
        <v>409</v>
      </c>
      <c r="M4140" s="339" t="s">
        <v>409</v>
      </c>
      <c r="N4140" s="338" t="s">
        <v>410</v>
      </c>
      <c r="O4140" s="338" t="s">
        <v>409</v>
      </c>
      <c r="P4140" s="338" t="s">
        <v>410</v>
      </c>
    </row>
    <row r="4141" spans="2:16" x14ac:dyDescent="0.25">
      <c r="B4141" s="336" t="s">
        <v>416</v>
      </c>
      <c r="C4141" s="337">
        <v>38797</v>
      </c>
      <c r="D4141" s="338" t="s">
        <v>2094</v>
      </c>
      <c r="E4141" s="336" t="s">
        <v>477</v>
      </c>
      <c r="F4141" s="338" t="s">
        <v>2093</v>
      </c>
      <c r="G4141" s="338">
        <v>22.3</v>
      </c>
      <c r="H4141" s="338" t="s">
        <v>425</v>
      </c>
      <c r="I4141" s="338" t="s">
        <v>411</v>
      </c>
      <c r="J4141" s="339"/>
      <c r="K4141" s="339"/>
      <c r="L4141" s="339"/>
      <c r="M4141" s="339"/>
      <c r="N4141" s="338"/>
      <c r="O4141" s="338" t="s">
        <v>487</v>
      </c>
      <c r="P4141" s="338" t="s">
        <v>417</v>
      </c>
    </row>
    <row r="4142" spans="2:16" x14ac:dyDescent="0.25">
      <c r="B4142" s="336" t="s">
        <v>416</v>
      </c>
      <c r="C4142" s="337">
        <v>38797</v>
      </c>
      <c r="D4142" s="338" t="s">
        <v>146</v>
      </c>
      <c r="E4142" s="336" t="s">
        <v>1437</v>
      </c>
      <c r="F4142" s="338" t="s">
        <v>2092</v>
      </c>
      <c r="G4142" s="338" t="s">
        <v>413</v>
      </c>
      <c r="H4142" s="338" t="s">
        <v>425</v>
      </c>
      <c r="I4142" s="338" t="s">
        <v>411</v>
      </c>
      <c r="J4142" s="339"/>
      <c r="K4142" s="339"/>
      <c r="L4142" s="339"/>
      <c r="M4142" s="339"/>
      <c r="N4142" s="338"/>
      <c r="O4142" s="338" t="s">
        <v>417</v>
      </c>
      <c r="P4142" s="338" t="s">
        <v>417</v>
      </c>
    </row>
    <row r="4143" spans="2:16" x14ac:dyDescent="0.25">
      <c r="B4143" s="336" t="s">
        <v>416</v>
      </c>
      <c r="C4143" s="337">
        <v>38796</v>
      </c>
      <c r="D4143" s="338" t="s">
        <v>2091</v>
      </c>
      <c r="E4143" s="336" t="s">
        <v>2090</v>
      </c>
      <c r="F4143" s="338"/>
      <c r="G4143" s="338">
        <v>250</v>
      </c>
      <c r="H4143" s="338" t="s">
        <v>425</v>
      </c>
      <c r="I4143" s="338" t="s">
        <v>411</v>
      </c>
      <c r="J4143" s="339"/>
      <c r="K4143" s="339"/>
      <c r="L4143" s="339" t="s">
        <v>409</v>
      </c>
      <c r="M4143" s="339" t="s">
        <v>409</v>
      </c>
      <c r="N4143" s="338" t="s">
        <v>612</v>
      </c>
      <c r="O4143" s="338" t="s">
        <v>409</v>
      </c>
      <c r="P4143" s="338" t="s">
        <v>417</v>
      </c>
    </row>
    <row r="4144" spans="2:16" x14ac:dyDescent="0.25">
      <c r="B4144" s="336" t="s">
        <v>459</v>
      </c>
      <c r="C4144" s="337">
        <v>38796</v>
      </c>
      <c r="D4144" s="338" t="s">
        <v>2089</v>
      </c>
      <c r="E4144" s="336" t="s">
        <v>1219</v>
      </c>
      <c r="F4144" s="338"/>
      <c r="G4144" s="338" t="s">
        <v>413</v>
      </c>
      <c r="H4144" s="338" t="s">
        <v>412</v>
      </c>
      <c r="I4144" s="338" t="s">
        <v>411</v>
      </c>
      <c r="J4144" s="339">
        <v>0.73741500000000004</v>
      </c>
      <c r="K4144" s="339">
        <v>5.0063700000000004</v>
      </c>
      <c r="L4144" s="339" t="s">
        <v>409</v>
      </c>
      <c r="M4144" s="339" t="s">
        <v>409</v>
      </c>
      <c r="N4144" s="338" t="s">
        <v>417</v>
      </c>
      <c r="O4144" s="338" t="s">
        <v>409</v>
      </c>
      <c r="P4144" s="338" t="s">
        <v>443</v>
      </c>
    </row>
    <row r="4145" spans="2:16" x14ac:dyDescent="0.25">
      <c r="B4145" s="336" t="s">
        <v>416</v>
      </c>
      <c r="C4145" s="337">
        <v>38796</v>
      </c>
      <c r="D4145" s="338" t="s">
        <v>2088</v>
      </c>
      <c r="E4145" s="336" t="s">
        <v>441</v>
      </c>
      <c r="F4145" s="338" t="s">
        <v>2087</v>
      </c>
      <c r="G4145" s="338" t="s">
        <v>413</v>
      </c>
      <c r="H4145" s="338" t="s">
        <v>425</v>
      </c>
      <c r="I4145" s="338" t="s">
        <v>411</v>
      </c>
      <c r="J4145" s="339"/>
      <c r="K4145" s="339"/>
      <c r="L4145" s="339"/>
      <c r="M4145" s="339"/>
      <c r="N4145" s="338"/>
      <c r="O4145" s="338" t="s">
        <v>443</v>
      </c>
      <c r="P4145" s="338" t="s">
        <v>417</v>
      </c>
    </row>
    <row r="4146" spans="2:16" x14ac:dyDescent="0.25">
      <c r="B4146" s="336" t="s">
        <v>416</v>
      </c>
      <c r="C4146" s="337">
        <v>38796</v>
      </c>
      <c r="D4146" s="338" t="s">
        <v>2086</v>
      </c>
      <c r="E4146" s="336" t="s">
        <v>2085</v>
      </c>
      <c r="F4146" s="338"/>
      <c r="G4146" s="338" t="s">
        <v>413</v>
      </c>
      <c r="H4146" s="338" t="s">
        <v>412</v>
      </c>
      <c r="I4146" s="338" t="s">
        <v>411</v>
      </c>
      <c r="J4146" s="339"/>
      <c r="K4146" s="339"/>
      <c r="L4146" s="339" t="s">
        <v>409</v>
      </c>
      <c r="M4146" s="339" t="s">
        <v>409</v>
      </c>
      <c r="N4146" s="338" t="s">
        <v>410</v>
      </c>
      <c r="O4146" s="338" t="s">
        <v>409</v>
      </c>
      <c r="P4146" s="338" t="s">
        <v>482</v>
      </c>
    </row>
    <row r="4147" spans="2:16" x14ac:dyDescent="0.25">
      <c r="B4147" s="336" t="s">
        <v>416</v>
      </c>
      <c r="C4147" s="337">
        <v>38793</v>
      </c>
      <c r="D4147" s="338" t="s">
        <v>2084</v>
      </c>
      <c r="E4147" s="336" t="s">
        <v>2083</v>
      </c>
      <c r="F4147" s="338" t="s">
        <v>2082</v>
      </c>
      <c r="G4147" s="338" t="s">
        <v>413</v>
      </c>
      <c r="H4147" s="338" t="s">
        <v>412</v>
      </c>
      <c r="I4147" s="338" t="s">
        <v>411</v>
      </c>
      <c r="J4147" s="339"/>
      <c r="K4147" s="339"/>
      <c r="L4147" s="339"/>
      <c r="M4147" s="339"/>
      <c r="N4147" s="338" t="s">
        <v>417</v>
      </c>
      <c r="O4147" s="338" t="s">
        <v>443</v>
      </c>
      <c r="P4147" s="338" t="s">
        <v>417</v>
      </c>
    </row>
    <row r="4148" spans="2:16" x14ac:dyDescent="0.25">
      <c r="B4148" s="336" t="s">
        <v>542</v>
      </c>
      <c r="C4148" s="337">
        <v>38793</v>
      </c>
      <c r="D4148" s="338" t="s">
        <v>2081</v>
      </c>
      <c r="E4148" s="336" t="s">
        <v>539</v>
      </c>
      <c r="F4148" s="338"/>
      <c r="G4148" s="338">
        <v>703.5</v>
      </c>
      <c r="H4148" s="338"/>
      <c r="I4148" s="338" t="s">
        <v>411</v>
      </c>
      <c r="J4148" s="339">
        <v>1.0018499999999999</v>
      </c>
      <c r="K4148" s="339">
        <v>9.9138099999999998</v>
      </c>
      <c r="L4148" s="339" t="s">
        <v>409</v>
      </c>
      <c r="M4148" s="339" t="s">
        <v>409</v>
      </c>
      <c r="N4148" s="338" t="s">
        <v>417</v>
      </c>
      <c r="O4148" s="338" t="s">
        <v>409</v>
      </c>
      <c r="P4148" s="338" t="s">
        <v>417</v>
      </c>
    </row>
    <row r="4149" spans="2:16" x14ac:dyDescent="0.25">
      <c r="B4149" s="336" t="s">
        <v>416</v>
      </c>
      <c r="C4149" s="337">
        <v>38793</v>
      </c>
      <c r="D4149" s="338" t="s">
        <v>2080</v>
      </c>
      <c r="E4149" s="336" t="s">
        <v>905</v>
      </c>
      <c r="F4149" s="338"/>
      <c r="G4149" s="338" t="s">
        <v>413</v>
      </c>
      <c r="H4149" s="338" t="s">
        <v>412</v>
      </c>
      <c r="I4149" s="338" t="s">
        <v>411</v>
      </c>
      <c r="J4149" s="339"/>
      <c r="K4149" s="339"/>
      <c r="L4149" s="339" t="s">
        <v>409</v>
      </c>
      <c r="M4149" s="339" t="s">
        <v>409</v>
      </c>
      <c r="N4149" s="338" t="s">
        <v>417</v>
      </c>
      <c r="O4149" s="338" t="s">
        <v>409</v>
      </c>
      <c r="P4149" s="338" t="s">
        <v>417</v>
      </c>
    </row>
    <row r="4150" spans="2:16" x14ac:dyDescent="0.25">
      <c r="B4150" s="336" t="s">
        <v>416</v>
      </c>
      <c r="C4150" s="337">
        <v>38792</v>
      </c>
      <c r="D4150" s="338" t="s">
        <v>2079</v>
      </c>
      <c r="E4150" s="336" t="s">
        <v>2078</v>
      </c>
      <c r="F4150" s="338" t="s">
        <v>2077</v>
      </c>
      <c r="G4150" s="338">
        <v>349.5</v>
      </c>
      <c r="H4150" s="338" t="s">
        <v>425</v>
      </c>
      <c r="I4150" s="338" t="s">
        <v>411</v>
      </c>
      <c r="J4150" s="339"/>
      <c r="K4150" s="339"/>
      <c r="L4150" s="339">
        <v>1.9365600000000001</v>
      </c>
      <c r="M4150" s="339">
        <v>10.672000000000001</v>
      </c>
      <c r="N4150" s="338" t="s">
        <v>487</v>
      </c>
      <c r="O4150" s="338" t="s">
        <v>487</v>
      </c>
      <c r="P4150" s="338" t="s">
        <v>417</v>
      </c>
    </row>
    <row r="4151" spans="2:16" x14ac:dyDescent="0.25">
      <c r="B4151" s="336" t="s">
        <v>416</v>
      </c>
      <c r="C4151" s="337">
        <v>38792</v>
      </c>
      <c r="D4151" s="338" t="s">
        <v>2076</v>
      </c>
      <c r="E4151" s="336" t="s">
        <v>2075</v>
      </c>
      <c r="F4151" s="338" t="s">
        <v>1476</v>
      </c>
      <c r="G4151" s="338" t="s">
        <v>413</v>
      </c>
      <c r="H4151" s="338" t="s">
        <v>425</v>
      </c>
      <c r="I4151" s="338" t="s">
        <v>411</v>
      </c>
      <c r="J4151" s="339"/>
      <c r="K4151" s="339"/>
      <c r="L4151" s="339">
        <v>1.35023</v>
      </c>
      <c r="M4151" s="339">
        <v>9.3802500000000002</v>
      </c>
      <c r="N4151" s="338" t="s">
        <v>417</v>
      </c>
      <c r="O4151" s="338" t="s">
        <v>417</v>
      </c>
      <c r="P4151" s="338" t="s">
        <v>443</v>
      </c>
    </row>
    <row r="4152" spans="2:16" x14ac:dyDescent="0.25">
      <c r="B4152" s="336" t="s">
        <v>416</v>
      </c>
      <c r="C4152" s="337">
        <v>38792</v>
      </c>
      <c r="D4152" s="338" t="s">
        <v>2076</v>
      </c>
      <c r="E4152" s="336" t="s">
        <v>2075</v>
      </c>
      <c r="F4152" s="338"/>
      <c r="G4152" s="338" t="s">
        <v>413</v>
      </c>
      <c r="H4152" s="338" t="s">
        <v>425</v>
      </c>
      <c r="I4152" s="338" t="s">
        <v>411</v>
      </c>
      <c r="J4152" s="339"/>
      <c r="K4152" s="339"/>
      <c r="L4152" s="339" t="s">
        <v>409</v>
      </c>
      <c r="M4152" s="339" t="s">
        <v>409</v>
      </c>
      <c r="N4152" s="338" t="s">
        <v>417</v>
      </c>
      <c r="O4152" s="338" t="s">
        <v>409</v>
      </c>
      <c r="P4152" s="338" t="s">
        <v>443</v>
      </c>
    </row>
    <row r="4153" spans="2:16" x14ac:dyDescent="0.25">
      <c r="B4153" s="336" t="s">
        <v>416</v>
      </c>
      <c r="C4153" s="337">
        <v>38792</v>
      </c>
      <c r="D4153" s="338" t="s">
        <v>2074</v>
      </c>
      <c r="E4153" s="336" t="s">
        <v>825</v>
      </c>
      <c r="F4153" s="338"/>
      <c r="G4153" s="338">
        <v>15</v>
      </c>
      <c r="H4153" s="338" t="s">
        <v>425</v>
      </c>
      <c r="I4153" s="338" t="s">
        <v>411</v>
      </c>
      <c r="J4153" s="339"/>
      <c r="K4153" s="339"/>
      <c r="L4153" s="339" t="s">
        <v>409</v>
      </c>
      <c r="M4153" s="339" t="s">
        <v>409</v>
      </c>
      <c r="N4153" s="338" t="s">
        <v>417</v>
      </c>
      <c r="O4153" s="338" t="s">
        <v>409</v>
      </c>
      <c r="P4153" s="338" t="s">
        <v>417</v>
      </c>
    </row>
    <row r="4154" spans="2:16" x14ac:dyDescent="0.25">
      <c r="B4154" s="336" t="s">
        <v>416</v>
      </c>
      <c r="C4154" s="337">
        <v>38790</v>
      </c>
      <c r="D4154" s="338" t="s">
        <v>2073</v>
      </c>
      <c r="E4154" s="336" t="s">
        <v>2072</v>
      </c>
      <c r="F4154" s="338"/>
      <c r="G4154" s="338" t="s">
        <v>413</v>
      </c>
      <c r="H4154" s="338" t="s">
        <v>412</v>
      </c>
      <c r="I4154" s="338" t="s">
        <v>411</v>
      </c>
      <c r="J4154" s="339"/>
      <c r="K4154" s="339"/>
      <c r="L4154" s="339" t="s">
        <v>409</v>
      </c>
      <c r="M4154" s="339" t="s">
        <v>409</v>
      </c>
      <c r="N4154" s="338" t="s">
        <v>417</v>
      </c>
      <c r="O4154" s="338" t="s">
        <v>409</v>
      </c>
      <c r="P4154" s="338" t="s">
        <v>417</v>
      </c>
    </row>
    <row r="4155" spans="2:16" x14ac:dyDescent="0.25">
      <c r="B4155" s="336" t="s">
        <v>416</v>
      </c>
      <c r="C4155" s="337">
        <v>38789</v>
      </c>
      <c r="D4155" s="338" t="s">
        <v>2071</v>
      </c>
      <c r="E4155" s="336" t="s">
        <v>874</v>
      </c>
      <c r="F4155" s="338"/>
      <c r="G4155" s="338" t="s">
        <v>413</v>
      </c>
      <c r="H4155" s="338" t="s">
        <v>425</v>
      </c>
      <c r="I4155" s="338" t="s">
        <v>411</v>
      </c>
      <c r="J4155" s="339"/>
      <c r="K4155" s="339"/>
      <c r="L4155" s="339" t="s">
        <v>409</v>
      </c>
      <c r="M4155" s="339" t="s">
        <v>409</v>
      </c>
      <c r="N4155" s="338"/>
      <c r="O4155" s="338" t="s">
        <v>409</v>
      </c>
      <c r="P4155" s="338" t="s">
        <v>417</v>
      </c>
    </row>
    <row r="4156" spans="2:16" x14ac:dyDescent="0.25">
      <c r="B4156" s="336" t="s">
        <v>416</v>
      </c>
      <c r="C4156" s="337">
        <v>38789</v>
      </c>
      <c r="D4156" s="338" t="s">
        <v>2070</v>
      </c>
      <c r="E4156" s="336" t="s">
        <v>825</v>
      </c>
      <c r="F4156" s="338"/>
      <c r="G4156" s="338">
        <v>5.25</v>
      </c>
      <c r="H4156" s="338" t="s">
        <v>425</v>
      </c>
      <c r="I4156" s="338" t="s">
        <v>411</v>
      </c>
      <c r="J4156" s="339"/>
      <c r="K4156" s="339"/>
      <c r="L4156" s="339" t="s">
        <v>409</v>
      </c>
      <c r="M4156" s="339" t="s">
        <v>409</v>
      </c>
      <c r="N4156" s="338" t="s">
        <v>410</v>
      </c>
      <c r="O4156" s="338" t="s">
        <v>409</v>
      </c>
      <c r="P4156" s="338" t="s">
        <v>417</v>
      </c>
    </row>
    <row r="4157" spans="2:16" x14ac:dyDescent="0.25">
      <c r="B4157" s="336" t="s">
        <v>416</v>
      </c>
      <c r="C4157" s="337">
        <v>38789</v>
      </c>
      <c r="D4157" s="338" t="s">
        <v>2069</v>
      </c>
      <c r="E4157" s="336" t="s">
        <v>2068</v>
      </c>
      <c r="F4157" s="338"/>
      <c r="G4157" s="338" t="s">
        <v>413</v>
      </c>
      <c r="H4157" s="338" t="s">
        <v>425</v>
      </c>
      <c r="I4157" s="338" t="s">
        <v>411</v>
      </c>
      <c r="J4157" s="339"/>
      <c r="K4157" s="339"/>
      <c r="L4157" s="339" t="s">
        <v>409</v>
      </c>
      <c r="M4157" s="339" t="s">
        <v>409</v>
      </c>
      <c r="N4157" s="338"/>
      <c r="O4157" s="338" t="s">
        <v>409</v>
      </c>
      <c r="P4157" s="338" t="s">
        <v>417</v>
      </c>
    </row>
    <row r="4158" spans="2:16" x14ac:dyDescent="0.25">
      <c r="B4158" s="336" t="s">
        <v>416</v>
      </c>
      <c r="C4158" s="337">
        <v>38789</v>
      </c>
      <c r="D4158" s="338" t="s">
        <v>2067</v>
      </c>
      <c r="E4158" s="336" t="s">
        <v>2066</v>
      </c>
      <c r="F4158" s="338"/>
      <c r="G4158" s="338" t="s">
        <v>413</v>
      </c>
      <c r="H4158" s="338" t="s">
        <v>425</v>
      </c>
      <c r="I4158" s="338" t="s">
        <v>411</v>
      </c>
      <c r="J4158" s="339"/>
      <c r="K4158" s="339"/>
      <c r="L4158" s="339" t="s">
        <v>409</v>
      </c>
      <c r="M4158" s="339" t="s">
        <v>409</v>
      </c>
      <c r="N4158" s="338" t="s">
        <v>417</v>
      </c>
      <c r="O4158" s="338" t="s">
        <v>409</v>
      </c>
      <c r="P4158" s="338"/>
    </row>
    <row r="4159" spans="2:16" x14ac:dyDescent="0.25">
      <c r="B4159" s="336" t="s">
        <v>459</v>
      </c>
      <c r="C4159" s="337">
        <v>38789</v>
      </c>
      <c r="D4159" s="338" t="s">
        <v>2065</v>
      </c>
      <c r="E4159" s="336" t="s">
        <v>2065</v>
      </c>
      <c r="F4159" s="338" t="s">
        <v>712</v>
      </c>
      <c r="G4159" s="338">
        <v>145</v>
      </c>
      <c r="H4159" s="338" t="s">
        <v>425</v>
      </c>
      <c r="I4159" s="338" t="s">
        <v>411</v>
      </c>
      <c r="J4159" s="339">
        <v>3.0150299999999999</v>
      </c>
      <c r="K4159" s="339">
        <v>16.000699999999998</v>
      </c>
      <c r="L4159" s="339"/>
      <c r="M4159" s="339"/>
      <c r="N4159" s="338" t="s">
        <v>417</v>
      </c>
      <c r="O4159" s="338" t="s">
        <v>443</v>
      </c>
      <c r="P4159" s="338" t="s">
        <v>417</v>
      </c>
    </row>
    <row r="4160" spans="2:16" x14ac:dyDescent="0.25">
      <c r="B4160" s="336" t="s">
        <v>416</v>
      </c>
      <c r="C4160" s="337">
        <v>38786</v>
      </c>
      <c r="D4160" s="338" t="s">
        <v>2064</v>
      </c>
      <c r="E4160" s="336" t="s">
        <v>2063</v>
      </c>
      <c r="F4160" s="338"/>
      <c r="G4160" s="338" t="s">
        <v>413</v>
      </c>
      <c r="H4160" s="338" t="s">
        <v>412</v>
      </c>
      <c r="I4160" s="338" t="s">
        <v>411</v>
      </c>
      <c r="J4160" s="339"/>
      <c r="K4160" s="339"/>
      <c r="L4160" s="339" t="s">
        <v>409</v>
      </c>
      <c r="M4160" s="339" t="s">
        <v>409</v>
      </c>
      <c r="N4160" s="338" t="s">
        <v>417</v>
      </c>
      <c r="O4160" s="338" t="s">
        <v>409</v>
      </c>
      <c r="P4160" s="338" t="s">
        <v>443</v>
      </c>
    </row>
    <row r="4161" spans="2:16" x14ac:dyDescent="0.25">
      <c r="B4161" s="336" t="s">
        <v>459</v>
      </c>
      <c r="C4161" s="337">
        <v>38786</v>
      </c>
      <c r="D4161" s="338" t="s">
        <v>2062</v>
      </c>
      <c r="E4161" s="336" t="s">
        <v>1708</v>
      </c>
      <c r="F4161" s="338"/>
      <c r="G4161" s="338">
        <v>28.08</v>
      </c>
      <c r="H4161" s="338" t="s">
        <v>425</v>
      </c>
      <c r="I4161" s="338" t="s">
        <v>411</v>
      </c>
      <c r="J4161" s="339"/>
      <c r="K4161" s="339"/>
      <c r="L4161" s="339" t="s">
        <v>409</v>
      </c>
      <c r="M4161" s="339" t="s">
        <v>409</v>
      </c>
      <c r="N4161" s="338" t="s">
        <v>432</v>
      </c>
      <c r="O4161" s="338" t="s">
        <v>409</v>
      </c>
      <c r="P4161" s="338" t="s">
        <v>443</v>
      </c>
    </row>
    <row r="4162" spans="2:16" x14ac:dyDescent="0.25">
      <c r="B4162" s="336" t="s">
        <v>416</v>
      </c>
      <c r="C4162" s="337">
        <v>38784</v>
      </c>
      <c r="D4162" s="338" t="s">
        <v>2061</v>
      </c>
      <c r="E4162" s="336" t="s">
        <v>2060</v>
      </c>
      <c r="F4162" s="338"/>
      <c r="G4162" s="338" t="s">
        <v>413</v>
      </c>
      <c r="H4162" s="338" t="s">
        <v>412</v>
      </c>
      <c r="I4162" s="338" t="s">
        <v>411</v>
      </c>
      <c r="J4162" s="339"/>
      <c r="K4162" s="339"/>
      <c r="L4162" s="339" t="s">
        <v>409</v>
      </c>
      <c r="M4162" s="339" t="s">
        <v>409</v>
      </c>
      <c r="N4162" s="338" t="s">
        <v>417</v>
      </c>
      <c r="O4162" s="338" t="s">
        <v>409</v>
      </c>
      <c r="P4162" s="338" t="s">
        <v>417</v>
      </c>
    </row>
    <row r="4163" spans="2:16" x14ac:dyDescent="0.25">
      <c r="B4163" s="336" t="s">
        <v>416</v>
      </c>
      <c r="C4163" s="337">
        <v>38783</v>
      </c>
      <c r="D4163" s="338" t="s">
        <v>2059</v>
      </c>
      <c r="E4163" s="336" t="s">
        <v>2058</v>
      </c>
      <c r="F4163" s="338"/>
      <c r="G4163" s="338">
        <v>42</v>
      </c>
      <c r="H4163" s="338" t="s">
        <v>425</v>
      </c>
      <c r="I4163" s="338" t="s">
        <v>411</v>
      </c>
      <c r="J4163" s="339"/>
      <c r="K4163" s="339"/>
      <c r="L4163" s="339" t="s">
        <v>409</v>
      </c>
      <c r="M4163" s="339" t="s">
        <v>409</v>
      </c>
      <c r="N4163" s="338"/>
      <c r="O4163" s="338" t="s">
        <v>409</v>
      </c>
      <c r="P4163" s="338" t="s">
        <v>417</v>
      </c>
    </row>
    <row r="4164" spans="2:16" x14ac:dyDescent="0.25">
      <c r="B4164" s="336" t="s">
        <v>459</v>
      </c>
      <c r="C4164" s="337">
        <v>38783</v>
      </c>
      <c r="D4164" s="338" t="s">
        <v>2057</v>
      </c>
      <c r="E4164" s="336" t="s">
        <v>2056</v>
      </c>
      <c r="F4164" s="338"/>
      <c r="G4164" s="338">
        <v>9</v>
      </c>
      <c r="H4164" s="338" t="s">
        <v>425</v>
      </c>
      <c r="I4164" s="338" t="s">
        <v>411</v>
      </c>
      <c r="J4164" s="339"/>
      <c r="K4164" s="339"/>
      <c r="L4164" s="339" t="s">
        <v>409</v>
      </c>
      <c r="M4164" s="339" t="s">
        <v>409</v>
      </c>
      <c r="N4164" s="338" t="s">
        <v>417</v>
      </c>
      <c r="O4164" s="338" t="s">
        <v>409</v>
      </c>
      <c r="P4164" s="338"/>
    </row>
    <row r="4165" spans="2:16" x14ac:dyDescent="0.25">
      <c r="B4165" s="336" t="s">
        <v>416</v>
      </c>
      <c r="C4165" s="337">
        <v>38783</v>
      </c>
      <c r="D4165" s="338" t="s">
        <v>2055</v>
      </c>
      <c r="E4165" s="336" t="s">
        <v>1315</v>
      </c>
      <c r="F4165" s="338"/>
      <c r="G4165" s="338" t="s">
        <v>413</v>
      </c>
      <c r="H4165" s="338" t="s">
        <v>425</v>
      </c>
      <c r="I4165" s="338" t="s">
        <v>411</v>
      </c>
      <c r="J4165" s="339"/>
      <c r="K4165" s="339"/>
      <c r="L4165" s="339" t="s">
        <v>409</v>
      </c>
      <c r="M4165" s="339" t="s">
        <v>409</v>
      </c>
      <c r="N4165" s="338" t="s">
        <v>417</v>
      </c>
      <c r="O4165" s="338" t="s">
        <v>409</v>
      </c>
      <c r="P4165" s="338" t="s">
        <v>443</v>
      </c>
    </row>
    <row r="4166" spans="2:16" x14ac:dyDescent="0.25">
      <c r="B4166" s="336" t="s">
        <v>542</v>
      </c>
      <c r="C4166" s="337">
        <v>38783</v>
      </c>
      <c r="D4166" s="338" t="s">
        <v>475</v>
      </c>
      <c r="E4166" s="336" t="s">
        <v>539</v>
      </c>
      <c r="F4166" s="338"/>
      <c r="G4166" s="338">
        <v>1150</v>
      </c>
      <c r="H4166" s="338"/>
      <c r="I4166" s="338" t="s">
        <v>411</v>
      </c>
      <c r="J4166" s="339">
        <v>0.61697900000000006</v>
      </c>
      <c r="K4166" s="339">
        <v>12.9344</v>
      </c>
      <c r="L4166" s="339" t="s">
        <v>409</v>
      </c>
      <c r="M4166" s="339" t="s">
        <v>409</v>
      </c>
      <c r="N4166" s="338" t="s">
        <v>417</v>
      </c>
      <c r="O4166" s="338" t="s">
        <v>409</v>
      </c>
      <c r="P4166" s="338" t="s">
        <v>417</v>
      </c>
    </row>
    <row r="4167" spans="2:16" x14ac:dyDescent="0.25">
      <c r="B4167" s="336" t="s">
        <v>416</v>
      </c>
      <c r="C4167" s="337">
        <v>38782</v>
      </c>
      <c r="D4167" s="338" t="s">
        <v>1274</v>
      </c>
      <c r="E4167" s="336" t="s">
        <v>1525</v>
      </c>
      <c r="F4167" s="338" t="s">
        <v>2054</v>
      </c>
      <c r="G4167" s="338">
        <v>1600</v>
      </c>
      <c r="H4167" s="338" t="s">
        <v>425</v>
      </c>
      <c r="I4167" s="338" t="s">
        <v>411</v>
      </c>
      <c r="J4167" s="339"/>
      <c r="K4167" s="339"/>
      <c r="L4167" s="339">
        <v>0.76574699999999996</v>
      </c>
      <c r="M4167" s="339">
        <v>5.5389299999999997</v>
      </c>
      <c r="N4167" s="338"/>
      <c r="O4167" s="338" t="s">
        <v>417</v>
      </c>
      <c r="P4167" s="338" t="s">
        <v>443</v>
      </c>
    </row>
    <row r="4168" spans="2:16" x14ac:dyDescent="0.25">
      <c r="B4168" s="336" t="s">
        <v>416</v>
      </c>
      <c r="C4168" s="337">
        <v>38782</v>
      </c>
      <c r="D4168" s="338" t="s">
        <v>2053</v>
      </c>
      <c r="E4168" s="336" t="s">
        <v>2052</v>
      </c>
      <c r="F4168" s="338"/>
      <c r="G4168" s="338" t="s">
        <v>413</v>
      </c>
      <c r="H4168" s="338" t="s">
        <v>425</v>
      </c>
      <c r="I4168" s="338" t="s">
        <v>411</v>
      </c>
      <c r="J4168" s="339"/>
      <c r="K4168" s="339"/>
      <c r="L4168" s="339" t="s">
        <v>409</v>
      </c>
      <c r="M4168" s="339" t="s">
        <v>409</v>
      </c>
      <c r="N4168" s="338" t="s">
        <v>417</v>
      </c>
      <c r="O4168" s="338" t="s">
        <v>409</v>
      </c>
      <c r="P4168" s="338" t="s">
        <v>443</v>
      </c>
    </row>
    <row r="4169" spans="2:16" x14ac:dyDescent="0.25">
      <c r="B4169" s="336" t="s">
        <v>416</v>
      </c>
      <c r="C4169" s="337">
        <v>38779</v>
      </c>
      <c r="D4169" s="338" t="s">
        <v>2051</v>
      </c>
      <c r="E4169" s="336" t="s">
        <v>1073</v>
      </c>
      <c r="F4169" s="338"/>
      <c r="G4169" s="338" t="s">
        <v>413</v>
      </c>
      <c r="H4169" s="338" t="s">
        <v>412</v>
      </c>
      <c r="I4169" s="338" t="s">
        <v>411</v>
      </c>
      <c r="J4169" s="339"/>
      <c r="K4169" s="339"/>
      <c r="L4169" s="339" t="s">
        <v>409</v>
      </c>
      <c r="M4169" s="339" t="s">
        <v>409</v>
      </c>
      <c r="N4169" s="338" t="s">
        <v>410</v>
      </c>
      <c r="O4169" s="338" t="s">
        <v>409</v>
      </c>
      <c r="P4169" s="338" t="s">
        <v>410</v>
      </c>
    </row>
    <row r="4170" spans="2:16" x14ac:dyDescent="0.25">
      <c r="B4170" s="336" t="s">
        <v>416</v>
      </c>
      <c r="C4170" s="337">
        <v>38779</v>
      </c>
      <c r="D4170" s="338" t="s">
        <v>2050</v>
      </c>
      <c r="E4170" s="336" t="s">
        <v>2049</v>
      </c>
      <c r="F4170" s="338"/>
      <c r="G4170" s="338">
        <v>90</v>
      </c>
      <c r="H4170" s="338" t="s">
        <v>425</v>
      </c>
      <c r="I4170" s="338" t="s">
        <v>411</v>
      </c>
      <c r="J4170" s="339"/>
      <c r="K4170" s="339"/>
      <c r="L4170" s="339" t="s">
        <v>409</v>
      </c>
      <c r="M4170" s="339" t="s">
        <v>409</v>
      </c>
      <c r="N4170" s="338" t="s">
        <v>417</v>
      </c>
      <c r="O4170" s="338" t="s">
        <v>409</v>
      </c>
      <c r="P4170" s="338" t="s">
        <v>443</v>
      </c>
    </row>
    <row r="4171" spans="2:16" x14ac:dyDescent="0.25">
      <c r="B4171" s="336" t="s">
        <v>416</v>
      </c>
      <c r="C4171" s="337">
        <v>38778</v>
      </c>
      <c r="D4171" s="338" t="s">
        <v>2048</v>
      </c>
      <c r="E4171" s="336" t="s">
        <v>983</v>
      </c>
      <c r="F4171" s="338"/>
      <c r="G4171" s="338" t="s">
        <v>413</v>
      </c>
      <c r="H4171" s="338" t="s">
        <v>425</v>
      </c>
      <c r="I4171" s="338" t="s">
        <v>411</v>
      </c>
      <c r="J4171" s="339"/>
      <c r="K4171" s="339"/>
      <c r="L4171" s="339" t="s">
        <v>409</v>
      </c>
      <c r="M4171" s="339" t="s">
        <v>409</v>
      </c>
      <c r="N4171" s="338" t="s">
        <v>417</v>
      </c>
      <c r="O4171" s="338" t="s">
        <v>409</v>
      </c>
      <c r="P4171" s="338" t="s">
        <v>417</v>
      </c>
    </row>
    <row r="4172" spans="2:16" x14ac:dyDescent="0.25">
      <c r="B4172" s="336" t="s">
        <v>416</v>
      </c>
      <c r="C4172" s="337">
        <v>38778</v>
      </c>
      <c r="D4172" s="338" t="s">
        <v>2047</v>
      </c>
      <c r="E4172" s="336" t="s">
        <v>2046</v>
      </c>
      <c r="F4172" s="338"/>
      <c r="G4172" s="338">
        <v>29</v>
      </c>
      <c r="H4172" s="338" t="s">
        <v>425</v>
      </c>
      <c r="I4172" s="338" t="s">
        <v>411</v>
      </c>
      <c r="J4172" s="339"/>
      <c r="K4172" s="339"/>
      <c r="L4172" s="339" t="s">
        <v>409</v>
      </c>
      <c r="M4172" s="339" t="s">
        <v>409</v>
      </c>
      <c r="N4172" s="338" t="s">
        <v>417</v>
      </c>
      <c r="O4172" s="338" t="s">
        <v>409</v>
      </c>
      <c r="P4172" s="338" t="s">
        <v>443</v>
      </c>
    </row>
    <row r="4173" spans="2:16" x14ac:dyDescent="0.25">
      <c r="B4173" s="336" t="s">
        <v>416</v>
      </c>
      <c r="C4173" s="337">
        <v>38778</v>
      </c>
      <c r="D4173" s="338" t="s">
        <v>2045</v>
      </c>
      <c r="E4173" s="336" t="s">
        <v>629</v>
      </c>
      <c r="F4173" s="338"/>
      <c r="G4173" s="338" t="s">
        <v>413</v>
      </c>
      <c r="H4173" s="338" t="s">
        <v>412</v>
      </c>
      <c r="I4173" s="338" t="s">
        <v>411</v>
      </c>
      <c r="J4173" s="339"/>
      <c r="K4173" s="339"/>
      <c r="L4173" s="339" t="s">
        <v>409</v>
      </c>
      <c r="M4173" s="339" t="s">
        <v>409</v>
      </c>
      <c r="N4173" s="338" t="s">
        <v>417</v>
      </c>
      <c r="O4173" s="338" t="s">
        <v>409</v>
      </c>
      <c r="P4173" s="338" t="s">
        <v>417</v>
      </c>
    </row>
    <row r="4174" spans="2:16" x14ac:dyDescent="0.25">
      <c r="B4174" s="336" t="s">
        <v>416</v>
      </c>
      <c r="C4174" s="337">
        <v>38777</v>
      </c>
      <c r="D4174" s="338" t="s">
        <v>2044</v>
      </c>
      <c r="E4174" s="336" t="s">
        <v>2043</v>
      </c>
      <c r="F4174" s="338"/>
      <c r="G4174" s="338" t="s">
        <v>413</v>
      </c>
      <c r="H4174" s="338" t="s">
        <v>412</v>
      </c>
      <c r="I4174" s="338" t="s">
        <v>411</v>
      </c>
      <c r="J4174" s="339"/>
      <c r="K4174" s="339"/>
      <c r="L4174" s="339" t="s">
        <v>409</v>
      </c>
      <c r="M4174" s="339" t="s">
        <v>409</v>
      </c>
      <c r="N4174" s="338" t="s">
        <v>417</v>
      </c>
      <c r="O4174" s="338" t="s">
        <v>409</v>
      </c>
      <c r="P4174" s="338" t="s">
        <v>487</v>
      </c>
    </row>
    <row r="4175" spans="2:16" x14ac:dyDescent="0.25">
      <c r="B4175" s="336" t="s">
        <v>459</v>
      </c>
      <c r="C4175" s="337">
        <v>38776</v>
      </c>
      <c r="D4175" s="338" t="s">
        <v>2042</v>
      </c>
      <c r="E4175" s="336" t="s">
        <v>2041</v>
      </c>
      <c r="F4175" s="338"/>
      <c r="G4175" s="338" t="s">
        <v>413</v>
      </c>
      <c r="H4175" s="338" t="s">
        <v>412</v>
      </c>
      <c r="I4175" s="338" t="s">
        <v>411</v>
      </c>
      <c r="J4175" s="339"/>
      <c r="K4175" s="339"/>
      <c r="L4175" s="339" t="s">
        <v>409</v>
      </c>
      <c r="M4175" s="339" t="s">
        <v>409</v>
      </c>
      <c r="N4175" s="338" t="s">
        <v>417</v>
      </c>
      <c r="O4175" s="338" t="s">
        <v>409</v>
      </c>
      <c r="P4175" s="338" t="s">
        <v>417</v>
      </c>
    </row>
    <row r="4176" spans="2:16" x14ac:dyDescent="0.25">
      <c r="B4176" s="336" t="s">
        <v>416</v>
      </c>
      <c r="C4176" s="337">
        <v>38776</v>
      </c>
      <c r="D4176" s="338" t="s">
        <v>2040</v>
      </c>
      <c r="E4176" s="336" t="s">
        <v>2039</v>
      </c>
      <c r="F4176" s="338"/>
      <c r="G4176" s="338" t="s">
        <v>413</v>
      </c>
      <c r="H4176" s="338" t="s">
        <v>429</v>
      </c>
      <c r="I4176" s="338" t="s">
        <v>411</v>
      </c>
      <c r="J4176" s="339"/>
      <c r="K4176" s="339"/>
      <c r="L4176" s="339" t="s">
        <v>409</v>
      </c>
      <c r="M4176" s="339" t="s">
        <v>409</v>
      </c>
      <c r="N4176" s="338" t="s">
        <v>417</v>
      </c>
      <c r="O4176" s="338" t="s">
        <v>409</v>
      </c>
      <c r="P4176" s="338"/>
    </row>
    <row r="4177" spans="2:16" x14ac:dyDescent="0.25">
      <c r="B4177" s="336" t="s">
        <v>416</v>
      </c>
      <c r="C4177" s="337">
        <v>38776</v>
      </c>
      <c r="D4177" s="338" t="s">
        <v>2038</v>
      </c>
      <c r="E4177" s="336" t="s">
        <v>1951</v>
      </c>
      <c r="F4177" s="338"/>
      <c r="G4177" s="338" t="s">
        <v>413</v>
      </c>
      <c r="H4177" s="338" t="s">
        <v>425</v>
      </c>
      <c r="I4177" s="338" t="s">
        <v>411</v>
      </c>
      <c r="J4177" s="339"/>
      <c r="K4177" s="339"/>
      <c r="L4177" s="339" t="s">
        <v>409</v>
      </c>
      <c r="M4177" s="339" t="s">
        <v>409</v>
      </c>
      <c r="N4177" s="338"/>
      <c r="O4177" s="338" t="s">
        <v>409</v>
      </c>
      <c r="P4177" s="338" t="s">
        <v>417</v>
      </c>
    </row>
    <row r="4178" spans="2:16" x14ac:dyDescent="0.25">
      <c r="B4178" s="336" t="s">
        <v>416</v>
      </c>
      <c r="C4178" s="337">
        <v>38776</v>
      </c>
      <c r="D4178" s="338" t="s">
        <v>2037</v>
      </c>
      <c r="E4178" s="336" t="s">
        <v>2036</v>
      </c>
      <c r="F4178" s="338" t="s">
        <v>702</v>
      </c>
      <c r="G4178" s="338">
        <v>12.31</v>
      </c>
      <c r="H4178" s="338" t="s">
        <v>425</v>
      </c>
      <c r="I4178" s="338" t="s">
        <v>411</v>
      </c>
      <c r="J4178" s="339"/>
      <c r="K4178" s="339"/>
      <c r="L4178" s="339">
        <v>0.65929899999999997</v>
      </c>
      <c r="M4178" s="339">
        <v>6.8302699999999996</v>
      </c>
      <c r="N4178" s="338"/>
      <c r="O4178" s="338" t="s">
        <v>417</v>
      </c>
      <c r="P4178" s="338"/>
    </row>
    <row r="4179" spans="2:16" x14ac:dyDescent="0.25">
      <c r="B4179" s="336" t="s">
        <v>416</v>
      </c>
      <c r="C4179" s="337">
        <v>38776</v>
      </c>
      <c r="D4179" s="338" t="s">
        <v>2035</v>
      </c>
      <c r="E4179" s="336" t="s">
        <v>2034</v>
      </c>
      <c r="F4179" s="338" t="s">
        <v>2033</v>
      </c>
      <c r="G4179" s="338" t="s">
        <v>413</v>
      </c>
      <c r="H4179" s="338" t="s">
        <v>425</v>
      </c>
      <c r="I4179" s="338" t="s">
        <v>411</v>
      </c>
      <c r="J4179" s="339"/>
      <c r="K4179" s="339"/>
      <c r="L4179" s="339"/>
      <c r="M4179" s="339"/>
      <c r="N4179" s="338"/>
      <c r="O4179" s="338" t="s">
        <v>417</v>
      </c>
      <c r="P4179" s="338" t="s">
        <v>417</v>
      </c>
    </row>
    <row r="4180" spans="2:16" x14ac:dyDescent="0.25">
      <c r="B4180" s="336" t="s">
        <v>416</v>
      </c>
      <c r="C4180" s="337">
        <v>38776</v>
      </c>
      <c r="D4180" s="338" t="s">
        <v>2032</v>
      </c>
      <c r="E4180" s="336" t="s">
        <v>441</v>
      </c>
      <c r="F4180" s="338" t="s">
        <v>2031</v>
      </c>
      <c r="G4180" s="338" t="s">
        <v>413</v>
      </c>
      <c r="H4180" s="338" t="s">
        <v>425</v>
      </c>
      <c r="I4180" s="338" t="s">
        <v>411</v>
      </c>
      <c r="J4180" s="339"/>
      <c r="K4180" s="339"/>
      <c r="L4180" s="339"/>
      <c r="M4180" s="339"/>
      <c r="N4180" s="338"/>
      <c r="O4180" s="338" t="s">
        <v>408</v>
      </c>
      <c r="P4180" s="338" t="s">
        <v>417</v>
      </c>
    </row>
    <row r="4181" spans="2:16" x14ac:dyDescent="0.25">
      <c r="B4181" s="336" t="s">
        <v>459</v>
      </c>
      <c r="C4181" s="337">
        <v>38776</v>
      </c>
      <c r="D4181" s="338" t="s">
        <v>2030</v>
      </c>
      <c r="E4181" s="336" t="s">
        <v>2029</v>
      </c>
      <c r="F4181" s="338"/>
      <c r="G4181" s="338">
        <v>8.6</v>
      </c>
      <c r="H4181" s="338" t="s">
        <v>425</v>
      </c>
      <c r="I4181" s="338" t="s">
        <v>411</v>
      </c>
      <c r="J4181" s="339">
        <v>1.93242</v>
      </c>
      <c r="K4181" s="339">
        <v>48.497</v>
      </c>
      <c r="L4181" s="339" t="s">
        <v>409</v>
      </c>
      <c r="M4181" s="339" t="s">
        <v>409</v>
      </c>
      <c r="N4181" s="338" t="s">
        <v>417</v>
      </c>
      <c r="O4181" s="338" t="s">
        <v>409</v>
      </c>
      <c r="P4181" s="338" t="s">
        <v>417</v>
      </c>
    </row>
    <row r="4182" spans="2:16" x14ac:dyDescent="0.25">
      <c r="B4182" s="336" t="s">
        <v>416</v>
      </c>
      <c r="C4182" s="337">
        <v>38776</v>
      </c>
      <c r="D4182" s="338" t="s">
        <v>2028</v>
      </c>
      <c r="E4182" s="336" t="s">
        <v>669</v>
      </c>
      <c r="F4182" s="338" t="s">
        <v>2027</v>
      </c>
      <c r="G4182" s="338">
        <v>21.1</v>
      </c>
      <c r="H4182" s="338" t="s">
        <v>425</v>
      </c>
      <c r="I4182" s="338" t="s">
        <v>411</v>
      </c>
      <c r="J4182" s="339"/>
      <c r="K4182" s="339"/>
      <c r="L4182" s="339">
        <v>1.2237100000000001</v>
      </c>
      <c r="M4182" s="339">
        <v>10.168799999999999</v>
      </c>
      <c r="N4182" s="338"/>
      <c r="O4182" s="338" t="s">
        <v>417</v>
      </c>
      <c r="P4182" s="338"/>
    </row>
    <row r="4183" spans="2:16" x14ac:dyDescent="0.25">
      <c r="B4183" s="336" t="s">
        <v>416</v>
      </c>
      <c r="C4183" s="337">
        <v>38775</v>
      </c>
      <c r="D4183" s="338" t="s">
        <v>2026</v>
      </c>
      <c r="E4183" s="336" t="s">
        <v>916</v>
      </c>
      <c r="F4183" s="338" t="s">
        <v>2025</v>
      </c>
      <c r="G4183" s="338">
        <v>7.6</v>
      </c>
      <c r="H4183" s="338" t="s">
        <v>425</v>
      </c>
      <c r="I4183" s="338" t="s">
        <v>411</v>
      </c>
      <c r="J4183" s="339"/>
      <c r="K4183" s="339"/>
      <c r="L4183" s="339"/>
      <c r="M4183" s="339"/>
      <c r="N4183" s="338"/>
      <c r="O4183" s="338" t="s">
        <v>417</v>
      </c>
      <c r="P4183" s="338" t="s">
        <v>417</v>
      </c>
    </row>
    <row r="4184" spans="2:16" x14ac:dyDescent="0.25">
      <c r="B4184" s="336" t="s">
        <v>459</v>
      </c>
      <c r="C4184" s="337">
        <v>38775</v>
      </c>
      <c r="D4184" s="338" t="s">
        <v>1078</v>
      </c>
      <c r="E4184" s="336" t="s">
        <v>1077</v>
      </c>
      <c r="F4184" s="338"/>
      <c r="G4184" s="338" t="s">
        <v>413</v>
      </c>
      <c r="H4184" s="338" t="s">
        <v>425</v>
      </c>
      <c r="I4184" s="338" t="s">
        <v>411</v>
      </c>
      <c r="J4184" s="339"/>
      <c r="K4184" s="339"/>
      <c r="L4184" s="339" t="s">
        <v>409</v>
      </c>
      <c r="M4184" s="339" t="s">
        <v>409</v>
      </c>
      <c r="N4184" s="338" t="s">
        <v>417</v>
      </c>
      <c r="O4184" s="338" t="s">
        <v>409</v>
      </c>
      <c r="P4184" s="338"/>
    </row>
    <row r="4185" spans="2:16" x14ac:dyDescent="0.25">
      <c r="B4185" s="336" t="s">
        <v>416</v>
      </c>
      <c r="C4185" s="337">
        <v>38775</v>
      </c>
      <c r="D4185" s="338" t="s">
        <v>2024</v>
      </c>
      <c r="E4185" s="336" t="s">
        <v>2023</v>
      </c>
      <c r="F4185" s="338"/>
      <c r="G4185" s="338" t="s">
        <v>413</v>
      </c>
      <c r="H4185" s="338" t="s">
        <v>425</v>
      </c>
      <c r="I4185" s="338" t="s">
        <v>411</v>
      </c>
      <c r="J4185" s="339"/>
      <c r="K4185" s="339"/>
      <c r="L4185" s="339" t="s">
        <v>409</v>
      </c>
      <c r="M4185" s="339" t="s">
        <v>409</v>
      </c>
      <c r="N4185" s="338" t="s">
        <v>417</v>
      </c>
      <c r="O4185" s="338" t="s">
        <v>409</v>
      </c>
      <c r="P4185" s="338" t="s">
        <v>443</v>
      </c>
    </row>
    <row r="4186" spans="2:16" x14ac:dyDescent="0.25">
      <c r="B4186" s="336" t="s">
        <v>416</v>
      </c>
      <c r="C4186" s="337">
        <v>38775</v>
      </c>
      <c r="D4186" s="338" t="s">
        <v>2022</v>
      </c>
      <c r="E4186" s="336" t="s">
        <v>2021</v>
      </c>
      <c r="F4186" s="338"/>
      <c r="G4186" s="338" t="s">
        <v>413</v>
      </c>
      <c r="H4186" s="338" t="s">
        <v>425</v>
      </c>
      <c r="I4186" s="338" t="s">
        <v>411</v>
      </c>
      <c r="J4186" s="339"/>
      <c r="K4186" s="339"/>
      <c r="L4186" s="339" t="s">
        <v>409</v>
      </c>
      <c r="M4186" s="339" t="s">
        <v>409</v>
      </c>
      <c r="N4186" s="338"/>
      <c r="O4186" s="338" t="s">
        <v>409</v>
      </c>
      <c r="P4186" s="338" t="s">
        <v>417</v>
      </c>
    </row>
    <row r="4187" spans="2:16" x14ac:dyDescent="0.25">
      <c r="B4187" s="336" t="s">
        <v>416</v>
      </c>
      <c r="C4187" s="337">
        <v>38775</v>
      </c>
      <c r="D4187" s="338" t="s">
        <v>2020</v>
      </c>
      <c r="E4187" s="336" t="s">
        <v>2019</v>
      </c>
      <c r="F4187" s="338" t="s">
        <v>2018</v>
      </c>
      <c r="G4187" s="338" t="s">
        <v>413</v>
      </c>
      <c r="H4187" s="338" t="s">
        <v>425</v>
      </c>
      <c r="I4187" s="338" t="s">
        <v>411</v>
      </c>
      <c r="J4187" s="339"/>
      <c r="K4187" s="339"/>
      <c r="L4187" s="339">
        <v>2.4334099999999999</v>
      </c>
      <c r="M4187" s="339">
        <v>15.014900000000001</v>
      </c>
      <c r="N4187" s="338"/>
      <c r="O4187" s="338" t="s">
        <v>417</v>
      </c>
      <c r="P4187" s="338" t="s">
        <v>417</v>
      </c>
    </row>
    <row r="4188" spans="2:16" x14ac:dyDescent="0.25">
      <c r="B4188" s="336" t="s">
        <v>416</v>
      </c>
      <c r="C4188" s="337">
        <v>38772</v>
      </c>
      <c r="D4188" s="338" t="s">
        <v>2017</v>
      </c>
      <c r="E4188" s="336" t="s">
        <v>423</v>
      </c>
      <c r="F4188" s="338" t="s">
        <v>2012</v>
      </c>
      <c r="G4188" s="338" t="s">
        <v>413</v>
      </c>
      <c r="H4188" s="338" t="s">
        <v>425</v>
      </c>
      <c r="I4188" s="338" t="s">
        <v>411</v>
      </c>
      <c r="J4188" s="339"/>
      <c r="K4188" s="339"/>
      <c r="L4188" s="339">
        <v>0.26979999999999998</v>
      </c>
      <c r="M4188" s="339"/>
      <c r="N4188" s="338" t="s">
        <v>487</v>
      </c>
      <c r="O4188" s="338" t="s">
        <v>410</v>
      </c>
      <c r="P4188" s="338"/>
    </row>
    <row r="4189" spans="2:16" x14ac:dyDescent="0.25">
      <c r="B4189" s="336" t="s">
        <v>416</v>
      </c>
      <c r="C4189" s="337">
        <v>38772</v>
      </c>
      <c r="D4189" s="338" t="s">
        <v>2016</v>
      </c>
      <c r="E4189" s="336" t="s">
        <v>742</v>
      </c>
      <c r="F4189" s="338" t="s">
        <v>660</v>
      </c>
      <c r="G4189" s="338">
        <v>45.7</v>
      </c>
      <c r="H4189" s="338" t="s">
        <v>425</v>
      </c>
      <c r="I4189" s="338" t="s">
        <v>411</v>
      </c>
      <c r="J4189" s="339"/>
      <c r="K4189" s="339"/>
      <c r="L4189" s="339"/>
      <c r="M4189" s="339"/>
      <c r="N4189" s="338" t="s">
        <v>417</v>
      </c>
      <c r="O4189" s="338" t="s">
        <v>417</v>
      </c>
      <c r="P4189" s="338" t="s">
        <v>417</v>
      </c>
    </row>
    <row r="4190" spans="2:16" x14ac:dyDescent="0.25">
      <c r="B4190" s="336" t="s">
        <v>416</v>
      </c>
      <c r="C4190" s="337">
        <v>38771</v>
      </c>
      <c r="D4190" s="338" t="s">
        <v>2015</v>
      </c>
      <c r="E4190" s="336" t="s">
        <v>1945</v>
      </c>
      <c r="F4190" s="338"/>
      <c r="G4190" s="338" t="s">
        <v>413</v>
      </c>
      <c r="H4190" s="338" t="s">
        <v>412</v>
      </c>
      <c r="I4190" s="338" t="s">
        <v>411</v>
      </c>
      <c r="J4190" s="339"/>
      <c r="K4190" s="339"/>
      <c r="L4190" s="339" t="s">
        <v>409</v>
      </c>
      <c r="M4190" s="339" t="s">
        <v>409</v>
      </c>
      <c r="N4190" s="338" t="s">
        <v>410</v>
      </c>
      <c r="O4190" s="338" t="s">
        <v>409</v>
      </c>
      <c r="P4190" s="338" t="s">
        <v>487</v>
      </c>
    </row>
    <row r="4191" spans="2:16" x14ac:dyDescent="0.25">
      <c r="B4191" s="336" t="s">
        <v>416</v>
      </c>
      <c r="C4191" s="337">
        <v>38770</v>
      </c>
      <c r="D4191" s="338" t="s">
        <v>2014</v>
      </c>
      <c r="E4191" s="336" t="s">
        <v>2013</v>
      </c>
      <c r="F4191" s="338" t="s">
        <v>2012</v>
      </c>
      <c r="G4191" s="338">
        <v>30.5</v>
      </c>
      <c r="H4191" s="338" t="s">
        <v>425</v>
      </c>
      <c r="I4191" s="338" t="s">
        <v>411</v>
      </c>
      <c r="J4191" s="339"/>
      <c r="K4191" s="339"/>
      <c r="L4191" s="339">
        <v>0.26979999999999998</v>
      </c>
      <c r="M4191" s="339"/>
      <c r="N4191" s="338"/>
      <c r="O4191" s="338" t="s">
        <v>410</v>
      </c>
      <c r="P4191" s="338" t="s">
        <v>417</v>
      </c>
    </row>
    <row r="4192" spans="2:16" x14ac:dyDescent="0.25">
      <c r="B4192" s="336" t="s">
        <v>416</v>
      </c>
      <c r="C4192" s="337">
        <v>38770</v>
      </c>
      <c r="D4192" s="338" t="s">
        <v>2011</v>
      </c>
      <c r="E4192" s="336" t="s">
        <v>2010</v>
      </c>
      <c r="F4192" s="338"/>
      <c r="G4192" s="338">
        <v>2.17</v>
      </c>
      <c r="H4192" s="338" t="s">
        <v>696</v>
      </c>
      <c r="I4192" s="338" t="s">
        <v>411</v>
      </c>
      <c r="J4192" s="339"/>
      <c r="K4192" s="339"/>
      <c r="L4192" s="339" t="s">
        <v>409</v>
      </c>
      <c r="M4192" s="339" t="s">
        <v>409</v>
      </c>
      <c r="N4192" s="338" t="s">
        <v>417</v>
      </c>
      <c r="O4192" s="338" t="s">
        <v>409</v>
      </c>
      <c r="P4192" s="338" t="s">
        <v>410</v>
      </c>
    </row>
    <row r="4193" spans="2:16" x14ac:dyDescent="0.25">
      <c r="B4193" s="336" t="s">
        <v>416</v>
      </c>
      <c r="C4193" s="337">
        <v>38770</v>
      </c>
      <c r="D4193" s="338" t="s">
        <v>1801</v>
      </c>
      <c r="E4193" s="336" t="s">
        <v>2009</v>
      </c>
      <c r="F4193" s="338"/>
      <c r="G4193" s="338" t="s">
        <v>413</v>
      </c>
      <c r="H4193" s="338" t="s">
        <v>412</v>
      </c>
      <c r="I4193" s="338" t="s">
        <v>411</v>
      </c>
      <c r="J4193" s="339"/>
      <c r="K4193" s="339"/>
      <c r="L4193" s="339" t="s">
        <v>409</v>
      </c>
      <c r="M4193" s="339" t="s">
        <v>409</v>
      </c>
      <c r="N4193" s="338" t="s">
        <v>417</v>
      </c>
      <c r="O4193" s="338" t="s">
        <v>409</v>
      </c>
      <c r="P4193" s="338" t="s">
        <v>432</v>
      </c>
    </row>
    <row r="4194" spans="2:16" x14ac:dyDescent="0.25">
      <c r="B4194" s="336" t="s">
        <v>416</v>
      </c>
      <c r="C4194" s="337">
        <v>38769</v>
      </c>
      <c r="D4194" s="338" t="s">
        <v>2008</v>
      </c>
      <c r="E4194" s="336" t="s">
        <v>2007</v>
      </c>
      <c r="F4194" s="338"/>
      <c r="G4194" s="338" t="s">
        <v>413</v>
      </c>
      <c r="H4194" s="338" t="s">
        <v>412</v>
      </c>
      <c r="I4194" s="338" t="s">
        <v>411</v>
      </c>
      <c r="J4194" s="339"/>
      <c r="K4194" s="339"/>
      <c r="L4194" s="339" t="s">
        <v>409</v>
      </c>
      <c r="M4194" s="339" t="s">
        <v>409</v>
      </c>
      <c r="N4194" s="338" t="s">
        <v>417</v>
      </c>
      <c r="O4194" s="338" t="s">
        <v>409</v>
      </c>
      <c r="P4194" s="338" t="s">
        <v>417</v>
      </c>
    </row>
    <row r="4195" spans="2:16" x14ac:dyDescent="0.25">
      <c r="B4195" s="336" t="s">
        <v>416</v>
      </c>
      <c r="C4195" s="337">
        <v>38768</v>
      </c>
      <c r="D4195" s="338" t="s">
        <v>2006</v>
      </c>
      <c r="E4195" s="336" t="s">
        <v>2005</v>
      </c>
      <c r="F4195" s="338"/>
      <c r="G4195" s="338">
        <v>35.6</v>
      </c>
      <c r="H4195" s="338" t="s">
        <v>425</v>
      </c>
      <c r="I4195" s="338" t="s">
        <v>411</v>
      </c>
      <c r="J4195" s="339"/>
      <c r="K4195" s="339"/>
      <c r="L4195" s="339" t="s">
        <v>409</v>
      </c>
      <c r="M4195" s="339" t="s">
        <v>409</v>
      </c>
      <c r="N4195" s="338" t="s">
        <v>417</v>
      </c>
      <c r="O4195" s="338" t="s">
        <v>409</v>
      </c>
      <c r="P4195" s="338" t="s">
        <v>417</v>
      </c>
    </row>
    <row r="4196" spans="2:16" x14ac:dyDescent="0.25">
      <c r="B4196" s="336" t="s">
        <v>416</v>
      </c>
      <c r="C4196" s="337">
        <v>38768</v>
      </c>
      <c r="D4196" s="338" t="s">
        <v>2004</v>
      </c>
      <c r="E4196" s="336" t="s">
        <v>2003</v>
      </c>
      <c r="F4196" s="338" t="s">
        <v>889</v>
      </c>
      <c r="G4196" s="338">
        <v>420</v>
      </c>
      <c r="H4196" s="338" t="s">
        <v>425</v>
      </c>
      <c r="I4196" s="338" t="s">
        <v>411</v>
      </c>
      <c r="J4196" s="339"/>
      <c r="K4196" s="339"/>
      <c r="L4196" s="339">
        <v>2.9470299999999998</v>
      </c>
      <c r="M4196" s="339">
        <v>13.790100000000001</v>
      </c>
      <c r="N4196" s="338"/>
      <c r="O4196" s="338" t="s">
        <v>410</v>
      </c>
      <c r="P4196" s="338" t="s">
        <v>410</v>
      </c>
    </row>
    <row r="4197" spans="2:16" x14ac:dyDescent="0.25">
      <c r="B4197" s="336" t="s">
        <v>416</v>
      </c>
      <c r="C4197" s="337">
        <v>38765</v>
      </c>
      <c r="D4197" s="338" t="s">
        <v>2002</v>
      </c>
      <c r="E4197" s="336" t="s">
        <v>2001</v>
      </c>
      <c r="F4197" s="338" t="s">
        <v>980</v>
      </c>
      <c r="G4197" s="338">
        <v>18.5</v>
      </c>
      <c r="H4197" s="338" t="s">
        <v>425</v>
      </c>
      <c r="I4197" s="338" t="s">
        <v>411</v>
      </c>
      <c r="J4197" s="339"/>
      <c r="K4197" s="339"/>
      <c r="L4197" s="339">
        <v>0.87109899999999996</v>
      </c>
      <c r="M4197" s="339">
        <v>6.4264900000000003</v>
      </c>
      <c r="N4197" s="338"/>
      <c r="O4197" s="338" t="s">
        <v>417</v>
      </c>
      <c r="P4197" s="338" t="s">
        <v>443</v>
      </c>
    </row>
    <row r="4198" spans="2:16" x14ac:dyDescent="0.25">
      <c r="B4198" s="336" t="s">
        <v>416</v>
      </c>
      <c r="C4198" s="337">
        <v>38765</v>
      </c>
      <c r="D4198" s="338" t="s">
        <v>2000</v>
      </c>
      <c r="E4198" s="336" t="s">
        <v>1591</v>
      </c>
      <c r="F4198" s="338"/>
      <c r="G4198" s="338">
        <v>195.18</v>
      </c>
      <c r="H4198" s="338" t="s">
        <v>425</v>
      </c>
      <c r="I4198" s="338" t="s">
        <v>411</v>
      </c>
      <c r="J4198" s="339">
        <v>0.93176899999999996</v>
      </c>
      <c r="K4198" s="339">
        <v>7.6324300000000003</v>
      </c>
      <c r="L4198" s="339" t="s">
        <v>409</v>
      </c>
      <c r="M4198" s="339" t="s">
        <v>409</v>
      </c>
      <c r="N4198" s="338" t="s">
        <v>417</v>
      </c>
      <c r="O4198" s="338" t="s">
        <v>409</v>
      </c>
      <c r="P4198" s="338" t="s">
        <v>443</v>
      </c>
    </row>
    <row r="4199" spans="2:16" x14ac:dyDescent="0.25">
      <c r="B4199" s="336" t="s">
        <v>459</v>
      </c>
      <c r="C4199" s="337">
        <v>38765</v>
      </c>
      <c r="D4199" s="338" t="s">
        <v>1999</v>
      </c>
      <c r="E4199" s="336" t="s">
        <v>1998</v>
      </c>
      <c r="F4199" s="338"/>
      <c r="G4199" s="338" t="s">
        <v>413</v>
      </c>
      <c r="H4199" s="338" t="s">
        <v>425</v>
      </c>
      <c r="I4199" s="338" t="s">
        <v>411</v>
      </c>
      <c r="J4199" s="339"/>
      <c r="K4199" s="339"/>
      <c r="L4199" s="339" t="s">
        <v>409</v>
      </c>
      <c r="M4199" s="339" t="s">
        <v>409</v>
      </c>
      <c r="N4199" s="338" t="s">
        <v>410</v>
      </c>
      <c r="O4199" s="338" t="s">
        <v>409</v>
      </c>
      <c r="P4199" s="338"/>
    </row>
    <row r="4200" spans="2:16" x14ac:dyDescent="0.25">
      <c r="B4200" s="336" t="s">
        <v>416</v>
      </c>
      <c r="C4200" s="337">
        <v>38765</v>
      </c>
      <c r="D4200" s="338" t="s">
        <v>1997</v>
      </c>
      <c r="E4200" s="336" t="s">
        <v>1996</v>
      </c>
      <c r="F4200" s="338" t="s">
        <v>1995</v>
      </c>
      <c r="G4200" s="338">
        <v>13.5</v>
      </c>
      <c r="H4200" s="338" t="s">
        <v>425</v>
      </c>
      <c r="I4200" s="338" t="s">
        <v>411</v>
      </c>
      <c r="J4200" s="339"/>
      <c r="K4200" s="339"/>
      <c r="L4200" s="339">
        <v>11.908099999999999</v>
      </c>
      <c r="M4200" s="339">
        <v>27.904299999999999</v>
      </c>
      <c r="N4200" s="338"/>
      <c r="O4200" s="338" t="s">
        <v>443</v>
      </c>
      <c r="P4200" s="338" t="s">
        <v>417</v>
      </c>
    </row>
    <row r="4201" spans="2:16" x14ac:dyDescent="0.25">
      <c r="B4201" s="336" t="s">
        <v>459</v>
      </c>
      <c r="C4201" s="337">
        <v>38764</v>
      </c>
      <c r="D4201" s="338" t="s">
        <v>1994</v>
      </c>
      <c r="E4201" s="336" t="s">
        <v>939</v>
      </c>
      <c r="F4201" s="338"/>
      <c r="G4201" s="338">
        <v>10.3</v>
      </c>
      <c r="H4201" s="338" t="s">
        <v>425</v>
      </c>
      <c r="I4201" s="338" t="s">
        <v>411</v>
      </c>
      <c r="J4201" s="339"/>
      <c r="K4201" s="339"/>
      <c r="L4201" s="339" t="s">
        <v>409</v>
      </c>
      <c r="M4201" s="339" t="s">
        <v>409</v>
      </c>
      <c r="N4201" s="338"/>
      <c r="O4201" s="338" t="s">
        <v>409</v>
      </c>
      <c r="P4201" s="338"/>
    </row>
    <row r="4202" spans="2:16" x14ac:dyDescent="0.25">
      <c r="B4202" s="336" t="s">
        <v>416</v>
      </c>
      <c r="C4202" s="337">
        <v>38764</v>
      </c>
      <c r="D4202" s="338" t="s">
        <v>1993</v>
      </c>
      <c r="E4202" s="336" t="s">
        <v>1619</v>
      </c>
      <c r="F4202" s="338"/>
      <c r="G4202" s="338" t="s">
        <v>413</v>
      </c>
      <c r="H4202" s="338" t="s">
        <v>412</v>
      </c>
      <c r="I4202" s="338" t="s">
        <v>411</v>
      </c>
      <c r="J4202" s="339"/>
      <c r="K4202" s="339"/>
      <c r="L4202" s="339" t="s">
        <v>409</v>
      </c>
      <c r="M4202" s="339" t="s">
        <v>409</v>
      </c>
      <c r="N4202" s="338" t="s">
        <v>410</v>
      </c>
      <c r="O4202" s="338" t="s">
        <v>409</v>
      </c>
      <c r="P4202" s="338" t="s">
        <v>417</v>
      </c>
    </row>
    <row r="4203" spans="2:16" x14ac:dyDescent="0.25">
      <c r="B4203" s="336" t="s">
        <v>416</v>
      </c>
      <c r="C4203" s="337">
        <v>38763</v>
      </c>
      <c r="D4203" s="338" t="s">
        <v>1992</v>
      </c>
      <c r="E4203" s="336" t="s">
        <v>1991</v>
      </c>
      <c r="F4203" s="338"/>
      <c r="G4203" s="338">
        <v>15.3</v>
      </c>
      <c r="H4203" s="338" t="s">
        <v>429</v>
      </c>
      <c r="I4203" s="338" t="s">
        <v>411</v>
      </c>
      <c r="J4203" s="339"/>
      <c r="K4203" s="339"/>
      <c r="L4203" s="339" t="s">
        <v>409</v>
      </c>
      <c r="M4203" s="339" t="s">
        <v>409</v>
      </c>
      <c r="N4203" s="338" t="s">
        <v>417</v>
      </c>
      <c r="O4203" s="338" t="s">
        <v>409</v>
      </c>
      <c r="P4203" s="338" t="s">
        <v>417</v>
      </c>
    </row>
    <row r="4204" spans="2:16" x14ac:dyDescent="0.25">
      <c r="B4204" s="336" t="s">
        <v>416</v>
      </c>
      <c r="C4204" s="337">
        <v>38763</v>
      </c>
      <c r="D4204" s="338" t="s">
        <v>1921</v>
      </c>
      <c r="E4204" s="336" t="s">
        <v>1990</v>
      </c>
      <c r="F4204" s="338" t="s">
        <v>1919</v>
      </c>
      <c r="G4204" s="338">
        <v>35</v>
      </c>
      <c r="H4204" s="338" t="s">
        <v>425</v>
      </c>
      <c r="I4204" s="338" t="s">
        <v>411</v>
      </c>
      <c r="J4204" s="339"/>
      <c r="K4204" s="339"/>
      <c r="L4204" s="339"/>
      <c r="M4204" s="339"/>
      <c r="N4204" s="338"/>
      <c r="O4204" s="338" t="s">
        <v>417</v>
      </c>
      <c r="P4204" s="338" t="s">
        <v>417</v>
      </c>
    </row>
    <row r="4205" spans="2:16" x14ac:dyDescent="0.25">
      <c r="B4205" s="336" t="s">
        <v>416</v>
      </c>
      <c r="C4205" s="337">
        <v>38763</v>
      </c>
      <c r="D4205" s="338" t="s">
        <v>1989</v>
      </c>
      <c r="E4205" s="336" t="s">
        <v>1281</v>
      </c>
      <c r="F4205" s="338"/>
      <c r="G4205" s="338" t="s">
        <v>413</v>
      </c>
      <c r="H4205" s="338" t="s">
        <v>412</v>
      </c>
      <c r="I4205" s="338" t="s">
        <v>411</v>
      </c>
      <c r="J4205" s="339"/>
      <c r="K4205" s="339"/>
      <c r="L4205" s="339" t="s">
        <v>409</v>
      </c>
      <c r="M4205" s="339" t="s">
        <v>409</v>
      </c>
      <c r="N4205" s="338" t="s">
        <v>605</v>
      </c>
      <c r="O4205" s="338" t="s">
        <v>409</v>
      </c>
      <c r="P4205" s="338" t="s">
        <v>605</v>
      </c>
    </row>
    <row r="4206" spans="2:16" x14ac:dyDescent="0.25">
      <c r="B4206" s="336" t="s">
        <v>416</v>
      </c>
      <c r="C4206" s="337">
        <v>38762</v>
      </c>
      <c r="D4206" s="338" t="s">
        <v>1988</v>
      </c>
      <c r="E4206" s="336" t="s">
        <v>1987</v>
      </c>
      <c r="F4206" s="338" t="s">
        <v>1140</v>
      </c>
      <c r="G4206" s="338">
        <v>240</v>
      </c>
      <c r="H4206" s="338" t="s">
        <v>425</v>
      </c>
      <c r="I4206" s="338" t="s">
        <v>411</v>
      </c>
      <c r="J4206" s="339"/>
      <c r="K4206" s="339"/>
      <c r="L4206" s="339">
        <v>1.38144</v>
      </c>
      <c r="M4206" s="339">
        <v>8.0563300000000009</v>
      </c>
      <c r="N4206" s="338"/>
      <c r="O4206" s="338" t="s">
        <v>417</v>
      </c>
      <c r="P4206" s="338" t="s">
        <v>417</v>
      </c>
    </row>
    <row r="4207" spans="2:16" x14ac:dyDescent="0.25">
      <c r="B4207" s="336" t="s">
        <v>416</v>
      </c>
      <c r="C4207" s="337">
        <v>38762</v>
      </c>
      <c r="D4207" s="338" t="s">
        <v>1986</v>
      </c>
      <c r="E4207" s="336" t="s">
        <v>1985</v>
      </c>
      <c r="F4207" s="338" t="s">
        <v>1984</v>
      </c>
      <c r="G4207" s="338" t="s">
        <v>413</v>
      </c>
      <c r="H4207" s="338" t="s">
        <v>412</v>
      </c>
      <c r="I4207" s="338" t="s">
        <v>411</v>
      </c>
      <c r="J4207" s="339"/>
      <c r="K4207" s="339"/>
      <c r="L4207" s="339"/>
      <c r="M4207" s="339"/>
      <c r="N4207" s="338" t="s">
        <v>417</v>
      </c>
      <c r="O4207" s="338" t="s">
        <v>443</v>
      </c>
      <c r="P4207" s="338" t="s">
        <v>417</v>
      </c>
    </row>
    <row r="4208" spans="2:16" x14ac:dyDescent="0.25">
      <c r="B4208" s="336" t="s">
        <v>416</v>
      </c>
      <c r="C4208" s="337">
        <v>38762</v>
      </c>
      <c r="D4208" s="338" t="s">
        <v>1983</v>
      </c>
      <c r="E4208" s="336" t="s">
        <v>1890</v>
      </c>
      <c r="F4208" s="338"/>
      <c r="G4208" s="338" t="s">
        <v>413</v>
      </c>
      <c r="H4208" s="338" t="s">
        <v>425</v>
      </c>
      <c r="I4208" s="338" t="s">
        <v>411</v>
      </c>
      <c r="J4208" s="339"/>
      <c r="K4208" s="339"/>
      <c r="L4208" s="339" t="s">
        <v>409</v>
      </c>
      <c r="M4208" s="339" t="s">
        <v>409</v>
      </c>
      <c r="N4208" s="338"/>
      <c r="O4208" s="338" t="s">
        <v>409</v>
      </c>
      <c r="P4208" s="338" t="s">
        <v>417</v>
      </c>
    </row>
    <row r="4209" spans="2:16" x14ac:dyDescent="0.25">
      <c r="B4209" s="336" t="s">
        <v>416</v>
      </c>
      <c r="C4209" s="337">
        <v>38762</v>
      </c>
      <c r="D4209" s="338" t="s">
        <v>1982</v>
      </c>
      <c r="E4209" s="336" t="s">
        <v>1801</v>
      </c>
      <c r="F4209" s="338"/>
      <c r="G4209" s="338" t="s">
        <v>413</v>
      </c>
      <c r="H4209" s="338" t="s">
        <v>412</v>
      </c>
      <c r="I4209" s="338" t="s">
        <v>411</v>
      </c>
      <c r="J4209" s="339"/>
      <c r="K4209" s="339"/>
      <c r="L4209" s="339" t="s">
        <v>409</v>
      </c>
      <c r="M4209" s="339" t="s">
        <v>409</v>
      </c>
      <c r="N4209" s="338" t="s">
        <v>432</v>
      </c>
      <c r="O4209" s="338" t="s">
        <v>409</v>
      </c>
      <c r="P4209" s="338" t="s">
        <v>417</v>
      </c>
    </row>
    <row r="4210" spans="2:16" x14ac:dyDescent="0.25">
      <c r="B4210" s="336" t="s">
        <v>416</v>
      </c>
      <c r="C4210" s="337">
        <v>38758</v>
      </c>
      <c r="D4210" s="338" t="s">
        <v>956</v>
      </c>
      <c r="E4210" s="336" t="s">
        <v>1981</v>
      </c>
      <c r="F4210" s="338" t="s">
        <v>1980</v>
      </c>
      <c r="G4210" s="338" t="s">
        <v>413</v>
      </c>
      <c r="H4210" s="338" t="s">
        <v>425</v>
      </c>
      <c r="I4210" s="338" t="s">
        <v>411</v>
      </c>
      <c r="J4210" s="339"/>
      <c r="K4210" s="339"/>
      <c r="L4210" s="339"/>
      <c r="M4210" s="339"/>
      <c r="N4210" s="338"/>
      <c r="O4210" s="338" t="s">
        <v>417</v>
      </c>
      <c r="P4210" s="338" t="s">
        <v>410</v>
      </c>
    </row>
    <row r="4211" spans="2:16" x14ac:dyDescent="0.25">
      <c r="B4211" s="336" t="s">
        <v>416</v>
      </c>
      <c r="C4211" s="337">
        <v>38757</v>
      </c>
      <c r="D4211" s="338" t="s">
        <v>1979</v>
      </c>
      <c r="E4211" s="336" t="s">
        <v>1978</v>
      </c>
      <c r="F4211" s="338"/>
      <c r="G4211" s="338" t="s">
        <v>413</v>
      </c>
      <c r="H4211" s="338" t="s">
        <v>425</v>
      </c>
      <c r="I4211" s="338" t="s">
        <v>411</v>
      </c>
      <c r="J4211" s="339"/>
      <c r="K4211" s="339"/>
      <c r="L4211" s="339" t="s">
        <v>409</v>
      </c>
      <c r="M4211" s="339" t="s">
        <v>409</v>
      </c>
      <c r="N4211" s="338" t="s">
        <v>417</v>
      </c>
      <c r="O4211" s="338" t="s">
        <v>409</v>
      </c>
      <c r="P4211" s="338" t="s">
        <v>417</v>
      </c>
    </row>
    <row r="4212" spans="2:16" x14ac:dyDescent="0.25">
      <c r="B4212" s="336" t="s">
        <v>416</v>
      </c>
      <c r="C4212" s="337">
        <v>38756</v>
      </c>
      <c r="D4212" s="338" t="s">
        <v>1977</v>
      </c>
      <c r="E4212" s="336" t="s">
        <v>475</v>
      </c>
      <c r="F4212" s="338"/>
      <c r="G4212" s="338" t="s">
        <v>413</v>
      </c>
      <c r="H4212" s="338" t="s">
        <v>425</v>
      </c>
      <c r="I4212" s="338" t="s">
        <v>411</v>
      </c>
      <c r="J4212" s="339"/>
      <c r="K4212" s="339"/>
      <c r="L4212" s="339" t="s">
        <v>409</v>
      </c>
      <c r="M4212" s="339" t="s">
        <v>409</v>
      </c>
      <c r="N4212" s="338"/>
      <c r="O4212" s="338" t="s">
        <v>409</v>
      </c>
      <c r="P4212" s="338" t="s">
        <v>417</v>
      </c>
    </row>
    <row r="4213" spans="2:16" x14ac:dyDescent="0.25">
      <c r="B4213" s="336" t="s">
        <v>416</v>
      </c>
      <c r="C4213" s="337">
        <v>38755</v>
      </c>
      <c r="D4213" s="338" t="s">
        <v>1976</v>
      </c>
      <c r="E4213" s="336" t="s">
        <v>842</v>
      </c>
      <c r="F4213" s="338" t="s">
        <v>1975</v>
      </c>
      <c r="G4213" s="338">
        <v>321.38</v>
      </c>
      <c r="H4213" s="338" t="s">
        <v>425</v>
      </c>
      <c r="I4213" s="338" t="s">
        <v>411</v>
      </c>
      <c r="J4213" s="339"/>
      <c r="K4213" s="339"/>
      <c r="L4213" s="339">
        <v>0.21615699999999999</v>
      </c>
      <c r="M4213" s="339">
        <v>77.650999999999996</v>
      </c>
      <c r="N4213" s="338"/>
      <c r="O4213" s="338" t="s">
        <v>417</v>
      </c>
      <c r="P4213" s="338" t="s">
        <v>487</v>
      </c>
    </row>
    <row r="4214" spans="2:16" x14ac:dyDescent="0.25">
      <c r="B4214" s="336" t="s">
        <v>416</v>
      </c>
      <c r="C4214" s="337">
        <v>38755</v>
      </c>
      <c r="D4214" s="338" t="s">
        <v>1974</v>
      </c>
      <c r="E4214" s="336" t="s">
        <v>1973</v>
      </c>
      <c r="F4214" s="338"/>
      <c r="G4214" s="338">
        <v>20</v>
      </c>
      <c r="H4214" s="338" t="s">
        <v>429</v>
      </c>
      <c r="I4214" s="338" t="s">
        <v>411</v>
      </c>
      <c r="J4214" s="339"/>
      <c r="K4214" s="339"/>
      <c r="L4214" s="339" t="s">
        <v>409</v>
      </c>
      <c r="M4214" s="339" t="s">
        <v>409</v>
      </c>
      <c r="N4214" s="338" t="s">
        <v>417</v>
      </c>
      <c r="O4214" s="338" t="s">
        <v>409</v>
      </c>
      <c r="P4214" s="338" t="s">
        <v>432</v>
      </c>
    </row>
    <row r="4215" spans="2:16" x14ac:dyDescent="0.25">
      <c r="B4215" s="336" t="s">
        <v>416</v>
      </c>
      <c r="C4215" s="337">
        <v>38754</v>
      </c>
      <c r="D4215" s="338" t="s">
        <v>1972</v>
      </c>
      <c r="E4215" s="336" t="s">
        <v>1971</v>
      </c>
      <c r="F4215" s="338" t="s">
        <v>980</v>
      </c>
      <c r="G4215" s="338" t="s">
        <v>413</v>
      </c>
      <c r="H4215" s="338" t="s">
        <v>425</v>
      </c>
      <c r="I4215" s="338" t="s">
        <v>411</v>
      </c>
      <c r="J4215" s="339"/>
      <c r="K4215" s="339"/>
      <c r="L4215" s="339">
        <v>0.87109899999999996</v>
      </c>
      <c r="M4215" s="339">
        <v>6.4264900000000003</v>
      </c>
      <c r="N4215" s="338"/>
      <c r="O4215" s="338" t="s">
        <v>417</v>
      </c>
      <c r="P4215" s="338" t="s">
        <v>417</v>
      </c>
    </row>
    <row r="4216" spans="2:16" x14ac:dyDescent="0.25">
      <c r="B4216" s="336" t="s">
        <v>416</v>
      </c>
      <c r="C4216" s="337">
        <v>38754</v>
      </c>
      <c r="D4216" s="338" t="s">
        <v>1970</v>
      </c>
      <c r="E4216" s="336" t="s">
        <v>455</v>
      </c>
      <c r="F4216" s="338" t="s">
        <v>1969</v>
      </c>
      <c r="G4216" s="338">
        <v>16</v>
      </c>
      <c r="H4216" s="338" t="s">
        <v>425</v>
      </c>
      <c r="I4216" s="338" t="s">
        <v>411</v>
      </c>
      <c r="J4216" s="339"/>
      <c r="K4216" s="339"/>
      <c r="L4216" s="339"/>
      <c r="M4216" s="339"/>
      <c r="N4216" s="338"/>
      <c r="O4216" s="338" t="s">
        <v>417</v>
      </c>
      <c r="P4216" s="338" t="s">
        <v>443</v>
      </c>
    </row>
    <row r="4217" spans="2:16" x14ac:dyDescent="0.25">
      <c r="B4217" s="336" t="s">
        <v>416</v>
      </c>
      <c r="C4217" s="337">
        <v>38754</v>
      </c>
      <c r="D4217" s="338" t="s">
        <v>1968</v>
      </c>
      <c r="E4217" s="336" t="s">
        <v>1967</v>
      </c>
      <c r="F4217" s="338"/>
      <c r="G4217" s="338" t="s">
        <v>413</v>
      </c>
      <c r="H4217" s="338" t="s">
        <v>412</v>
      </c>
      <c r="I4217" s="338" t="s">
        <v>411</v>
      </c>
      <c r="J4217" s="339"/>
      <c r="K4217" s="339"/>
      <c r="L4217" s="339" t="s">
        <v>409</v>
      </c>
      <c r="M4217" s="339" t="s">
        <v>409</v>
      </c>
      <c r="N4217" s="338" t="s">
        <v>410</v>
      </c>
      <c r="O4217" s="338" t="s">
        <v>409</v>
      </c>
      <c r="P4217" s="338" t="s">
        <v>432</v>
      </c>
    </row>
    <row r="4218" spans="2:16" x14ac:dyDescent="0.25">
      <c r="B4218" s="336" t="s">
        <v>416</v>
      </c>
      <c r="C4218" s="337">
        <v>38754</v>
      </c>
      <c r="D4218" s="338" t="s">
        <v>1966</v>
      </c>
      <c r="E4218" s="336" t="s">
        <v>1965</v>
      </c>
      <c r="F4218" s="338"/>
      <c r="G4218" s="338">
        <v>465.75</v>
      </c>
      <c r="H4218" s="338" t="s">
        <v>425</v>
      </c>
      <c r="I4218" s="338" t="s">
        <v>411</v>
      </c>
      <c r="J4218" s="339">
        <v>0.75124400000000002</v>
      </c>
      <c r="K4218" s="339">
        <v>13.3161</v>
      </c>
      <c r="L4218" s="339" t="s">
        <v>409</v>
      </c>
      <c r="M4218" s="339" t="s">
        <v>409</v>
      </c>
      <c r="N4218" s="338" t="s">
        <v>417</v>
      </c>
      <c r="O4218" s="338" t="s">
        <v>409</v>
      </c>
      <c r="P4218" s="338" t="s">
        <v>417</v>
      </c>
    </row>
    <row r="4219" spans="2:16" x14ac:dyDescent="0.25">
      <c r="B4219" s="336" t="s">
        <v>416</v>
      </c>
      <c r="C4219" s="337">
        <v>38751</v>
      </c>
      <c r="D4219" s="338" t="s">
        <v>1964</v>
      </c>
      <c r="E4219" s="336" t="s">
        <v>1963</v>
      </c>
      <c r="F4219" s="338" t="s">
        <v>1962</v>
      </c>
      <c r="G4219" s="338">
        <v>10</v>
      </c>
      <c r="H4219" s="338" t="s">
        <v>425</v>
      </c>
      <c r="I4219" s="338" t="s">
        <v>411</v>
      </c>
      <c r="J4219" s="339"/>
      <c r="K4219" s="339"/>
      <c r="L4219" s="339"/>
      <c r="M4219" s="339"/>
      <c r="N4219" s="338"/>
      <c r="O4219" s="338" t="s">
        <v>417</v>
      </c>
      <c r="P4219" s="338" t="s">
        <v>417</v>
      </c>
    </row>
    <row r="4220" spans="2:16" x14ac:dyDescent="0.25">
      <c r="B4220" s="336" t="s">
        <v>416</v>
      </c>
      <c r="C4220" s="337">
        <v>38751</v>
      </c>
      <c r="D4220" s="338" t="s">
        <v>1961</v>
      </c>
      <c r="E4220" s="336" t="s">
        <v>1960</v>
      </c>
      <c r="F4220" s="338" t="s">
        <v>1959</v>
      </c>
      <c r="G4220" s="338" t="s">
        <v>413</v>
      </c>
      <c r="H4220" s="338" t="s">
        <v>412</v>
      </c>
      <c r="I4220" s="338" t="s">
        <v>411</v>
      </c>
      <c r="J4220" s="339"/>
      <c r="K4220" s="339"/>
      <c r="L4220" s="339"/>
      <c r="M4220" s="339"/>
      <c r="N4220" s="338" t="s">
        <v>417</v>
      </c>
      <c r="O4220" s="338" t="s">
        <v>443</v>
      </c>
      <c r="P4220" s="338" t="s">
        <v>410</v>
      </c>
    </row>
    <row r="4221" spans="2:16" x14ac:dyDescent="0.25">
      <c r="B4221" s="336" t="s">
        <v>416</v>
      </c>
      <c r="C4221" s="337">
        <v>38750</v>
      </c>
      <c r="D4221" s="338" t="s">
        <v>1958</v>
      </c>
      <c r="E4221" s="336" t="s">
        <v>1006</v>
      </c>
      <c r="F4221" s="338"/>
      <c r="G4221" s="338" t="s">
        <v>413</v>
      </c>
      <c r="H4221" s="338" t="s">
        <v>412</v>
      </c>
      <c r="I4221" s="338" t="s">
        <v>411</v>
      </c>
      <c r="J4221" s="339"/>
      <c r="K4221" s="339"/>
      <c r="L4221" s="339" t="s">
        <v>409</v>
      </c>
      <c r="M4221" s="339" t="s">
        <v>409</v>
      </c>
      <c r="N4221" s="338" t="s">
        <v>417</v>
      </c>
      <c r="O4221" s="338" t="s">
        <v>409</v>
      </c>
      <c r="P4221" s="338" t="s">
        <v>417</v>
      </c>
    </row>
    <row r="4222" spans="2:16" x14ac:dyDescent="0.25">
      <c r="B4222" s="336" t="s">
        <v>416</v>
      </c>
      <c r="C4222" s="337">
        <v>38750</v>
      </c>
      <c r="D4222" s="338" t="s">
        <v>1957</v>
      </c>
      <c r="E4222" s="336" t="s">
        <v>1956</v>
      </c>
      <c r="F4222" s="338" t="s">
        <v>1955</v>
      </c>
      <c r="G4222" s="338">
        <v>1154</v>
      </c>
      <c r="H4222" s="338" t="s">
        <v>425</v>
      </c>
      <c r="I4222" s="338" t="s">
        <v>411</v>
      </c>
      <c r="J4222" s="339"/>
      <c r="K4222" s="339"/>
      <c r="L4222" s="339">
        <v>0.42771399999999998</v>
      </c>
      <c r="M4222" s="339">
        <v>5.0668600000000001</v>
      </c>
      <c r="N4222" s="338" t="s">
        <v>417</v>
      </c>
      <c r="O4222" s="338" t="s">
        <v>417</v>
      </c>
      <c r="P4222" s="338" t="s">
        <v>432</v>
      </c>
    </row>
    <row r="4223" spans="2:16" x14ac:dyDescent="0.25">
      <c r="B4223" s="336" t="s">
        <v>416</v>
      </c>
      <c r="C4223" s="337">
        <v>38750</v>
      </c>
      <c r="D4223" s="338" t="s">
        <v>1954</v>
      </c>
      <c r="E4223" s="336" t="s">
        <v>1953</v>
      </c>
      <c r="F4223" s="338"/>
      <c r="G4223" s="338">
        <v>142.41</v>
      </c>
      <c r="H4223" s="338" t="s">
        <v>425</v>
      </c>
      <c r="I4223" s="338" t="s">
        <v>411</v>
      </c>
      <c r="J4223" s="339">
        <v>0.427784</v>
      </c>
      <c r="K4223" s="339"/>
      <c r="L4223" s="339" t="s">
        <v>409</v>
      </c>
      <c r="M4223" s="339" t="s">
        <v>409</v>
      </c>
      <c r="N4223" s="338" t="s">
        <v>417</v>
      </c>
      <c r="O4223" s="338" t="s">
        <v>409</v>
      </c>
      <c r="P4223" s="338"/>
    </row>
    <row r="4224" spans="2:16" x14ac:dyDescent="0.25">
      <c r="B4224" s="336" t="s">
        <v>416</v>
      </c>
      <c r="C4224" s="337">
        <v>38750</v>
      </c>
      <c r="D4224" s="338" t="s">
        <v>1952</v>
      </c>
      <c r="E4224" s="336" t="s">
        <v>1465</v>
      </c>
      <c r="F4224" s="338" t="s">
        <v>1464</v>
      </c>
      <c r="G4224" s="338">
        <v>11.1</v>
      </c>
      <c r="H4224" s="338" t="s">
        <v>425</v>
      </c>
      <c r="I4224" s="338" t="s">
        <v>411</v>
      </c>
      <c r="J4224" s="339"/>
      <c r="K4224" s="339"/>
      <c r="L4224" s="339"/>
      <c r="M4224" s="339"/>
      <c r="N4224" s="338"/>
      <c r="O4224" s="338" t="s">
        <v>417</v>
      </c>
      <c r="P4224" s="338"/>
    </row>
    <row r="4225" spans="2:16" x14ac:dyDescent="0.25">
      <c r="B4225" s="336" t="s">
        <v>416</v>
      </c>
      <c r="C4225" s="337">
        <v>38749</v>
      </c>
      <c r="D4225" s="338" t="s">
        <v>802</v>
      </c>
      <c r="E4225" s="336" t="s">
        <v>1951</v>
      </c>
      <c r="F4225" s="338" t="s">
        <v>1950</v>
      </c>
      <c r="G4225" s="338" t="s">
        <v>413</v>
      </c>
      <c r="H4225" s="338" t="s">
        <v>425</v>
      </c>
      <c r="I4225" s="338" t="s">
        <v>411</v>
      </c>
      <c r="J4225" s="339"/>
      <c r="K4225" s="339"/>
      <c r="L4225" s="339"/>
      <c r="M4225" s="339"/>
      <c r="N4225" s="338"/>
      <c r="O4225" s="338" t="s">
        <v>417</v>
      </c>
      <c r="P4225" s="338" t="s">
        <v>417</v>
      </c>
    </row>
    <row r="4226" spans="2:16" x14ac:dyDescent="0.25">
      <c r="B4226" s="336" t="s">
        <v>416</v>
      </c>
      <c r="C4226" s="337">
        <v>38749</v>
      </c>
      <c r="D4226" s="338" t="s">
        <v>1949</v>
      </c>
      <c r="E4226" s="336" t="s">
        <v>1945</v>
      </c>
      <c r="F4226" s="338"/>
      <c r="G4226" s="338" t="s">
        <v>413</v>
      </c>
      <c r="H4226" s="338" t="s">
        <v>412</v>
      </c>
      <c r="I4226" s="338" t="s">
        <v>411</v>
      </c>
      <c r="J4226" s="339"/>
      <c r="K4226" s="339"/>
      <c r="L4226" s="339" t="s">
        <v>409</v>
      </c>
      <c r="M4226" s="339" t="s">
        <v>409</v>
      </c>
      <c r="N4226" s="338" t="s">
        <v>410</v>
      </c>
      <c r="O4226" s="338" t="s">
        <v>409</v>
      </c>
      <c r="P4226" s="338" t="s">
        <v>487</v>
      </c>
    </row>
    <row r="4227" spans="2:16" x14ac:dyDescent="0.25">
      <c r="B4227" s="336" t="s">
        <v>416</v>
      </c>
      <c r="C4227" s="337">
        <v>38749</v>
      </c>
      <c r="D4227" s="338" t="s">
        <v>1948</v>
      </c>
      <c r="E4227" s="336" t="s">
        <v>1947</v>
      </c>
      <c r="F4227" s="338"/>
      <c r="G4227" s="338">
        <v>5.4</v>
      </c>
      <c r="H4227" s="338" t="s">
        <v>425</v>
      </c>
      <c r="I4227" s="338" t="s">
        <v>411</v>
      </c>
      <c r="J4227" s="339"/>
      <c r="K4227" s="339"/>
      <c r="L4227" s="339" t="s">
        <v>409</v>
      </c>
      <c r="M4227" s="339" t="s">
        <v>409</v>
      </c>
      <c r="N4227" s="338" t="s">
        <v>417</v>
      </c>
      <c r="O4227" s="338" t="s">
        <v>409</v>
      </c>
      <c r="P4227" s="338" t="s">
        <v>443</v>
      </c>
    </row>
    <row r="4228" spans="2:16" x14ac:dyDescent="0.25">
      <c r="B4228" s="336" t="s">
        <v>416</v>
      </c>
      <c r="C4228" s="337">
        <v>38749</v>
      </c>
      <c r="D4228" s="338" t="s">
        <v>1946</v>
      </c>
      <c r="E4228" s="336" t="s">
        <v>1945</v>
      </c>
      <c r="F4228" s="338"/>
      <c r="G4228" s="338" t="s">
        <v>413</v>
      </c>
      <c r="H4228" s="338" t="s">
        <v>412</v>
      </c>
      <c r="I4228" s="338" t="s">
        <v>411</v>
      </c>
      <c r="J4228" s="339"/>
      <c r="K4228" s="339"/>
      <c r="L4228" s="339" t="s">
        <v>409</v>
      </c>
      <c r="M4228" s="339" t="s">
        <v>409</v>
      </c>
      <c r="N4228" s="338" t="s">
        <v>410</v>
      </c>
      <c r="O4228" s="338" t="s">
        <v>409</v>
      </c>
      <c r="P4228" s="338" t="s">
        <v>487</v>
      </c>
    </row>
    <row r="4229" spans="2:16" x14ac:dyDescent="0.25">
      <c r="B4229" s="336" t="s">
        <v>416</v>
      </c>
      <c r="C4229" s="337">
        <v>38749</v>
      </c>
      <c r="D4229" s="338" t="s">
        <v>1944</v>
      </c>
      <c r="E4229" s="336" t="s">
        <v>1943</v>
      </c>
      <c r="F4229" s="338" t="s">
        <v>1942</v>
      </c>
      <c r="G4229" s="338" t="s">
        <v>413</v>
      </c>
      <c r="H4229" s="338" t="s">
        <v>425</v>
      </c>
      <c r="I4229" s="338" t="s">
        <v>411</v>
      </c>
      <c r="J4229" s="339"/>
      <c r="K4229" s="339"/>
      <c r="L4229" s="339">
        <v>2.5849799999999998</v>
      </c>
      <c r="M4229" s="339">
        <v>10.926500000000001</v>
      </c>
      <c r="N4229" s="338" t="s">
        <v>417</v>
      </c>
      <c r="O4229" s="338" t="s">
        <v>482</v>
      </c>
      <c r="P4229" s="338"/>
    </row>
    <row r="4230" spans="2:16" x14ac:dyDescent="0.25">
      <c r="B4230" s="336" t="s">
        <v>416</v>
      </c>
      <c r="C4230" s="337">
        <v>38748</v>
      </c>
      <c r="D4230" s="338" t="s">
        <v>1941</v>
      </c>
      <c r="E4230" s="336" t="s">
        <v>1234</v>
      </c>
      <c r="F4230" s="338"/>
      <c r="G4230" s="338">
        <v>4.2</v>
      </c>
      <c r="H4230" s="338" t="s">
        <v>425</v>
      </c>
      <c r="I4230" s="338" t="s">
        <v>411</v>
      </c>
      <c r="J4230" s="339"/>
      <c r="K4230" s="339"/>
      <c r="L4230" s="339" t="s">
        <v>409</v>
      </c>
      <c r="M4230" s="339" t="s">
        <v>409</v>
      </c>
      <c r="N4230" s="338" t="s">
        <v>417</v>
      </c>
      <c r="O4230" s="338" t="s">
        <v>409</v>
      </c>
      <c r="P4230" s="338" t="s">
        <v>417</v>
      </c>
    </row>
    <row r="4231" spans="2:16" x14ac:dyDescent="0.25">
      <c r="B4231" s="336" t="s">
        <v>416</v>
      </c>
      <c r="C4231" s="337">
        <v>38748</v>
      </c>
      <c r="D4231" s="338" t="s">
        <v>1940</v>
      </c>
      <c r="E4231" s="336" t="s">
        <v>1939</v>
      </c>
      <c r="F4231" s="338" t="s">
        <v>1938</v>
      </c>
      <c r="G4231" s="338">
        <v>270</v>
      </c>
      <c r="H4231" s="338" t="s">
        <v>425</v>
      </c>
      <c r="I4231" s="338" t="s">
        <v>411</v>
      </c>
      <c r="J4231" s="339"/>
      <c r="K4231" s="339"/>
      <c r="L4231" s="339"/>
      <c r="M4231" s="339"/>
      <c r="N4231" s="338"/>
      <c r="O4231" s="338" t="s">
        <v>417</v>
      </c>
      <c r="P4231" s="338" t="s">
        <v>482</v>
      </c>
    </row>
    <row r="4232" spans="2:16" x14ac:dyDescent="0.25">
      <c r="B4232" s="336" t="s">
        <v>416</v>
      </c>
      <c r="C4232" s="337">
        <v>38748</v>
      </c>
      <c r="D4232" s="338" t="s">
        <v>1937</v>
      </c>
      <c r="E4232" s="336" t="s">
        <v>831</v>
      </c>
      <c r="F4232" s="338"/>
      <c r="G4232" s="338" t="s">
        <v>413</v>
      </c>
      <c r="H4232" s="338" t="s">
        <v>412</v>
      </c>
      <c r="I4232" s="338" t="s">
        <v>411</v>
      </c>
      <c r="J4232" s="339"/>
      <c r="K4232" s="339"/>
      <c r="L4232" s="339" t="s">
        <v>409</v>
      </c>
      <c r="M4232" s="339" t="s">
        <v>409</v>
      </c>
      <c r="N4232" s="338" t="s">
        <v>417</v>
      </c>
      <c r="O4232" s="338" t="s">
        <v>409</v>
      </c>
      <c r="P4232" s="338" t="s">
        <v>417</v>
      </c>
    </row>
    <row r="4233" spans="2:16" x14ac:dyDescent="0.25">
      <c r="B4233" s="336" t="s">
        <v>416</v>
      </c>
      <c r="C4233" s="337">
        <v>38748</v>
      </c>
      <c r="D4233" s="338" t="s">
        <v>1936</v>
      </c>
      <c r="E4233" s="336" t="s">
        <v>1935</v>
      </c>
      <c r="F4233" s="338"/>
      <c r="G4233" s="338" t="s">
        <v>413</v>
      </c>
      <c r="H4233" s="338" t="s">
        <v>425</v>
      </c>
      <c r="I4233" s="338" t="s">
        <v>411</v>
      </c>
      <c r="J4233" s="339"/>
      <c r="K4233" s="339"/>
      <c r="L4233" s="339" t="s">
        <v>409</v>
      </c>
      <c r="M4233" s="339" t="s">
        <v>409</v>
      </c>
      <c r="N4233" s="338" t="s">
        <v>417</v>
      </c>
      <c r="O4233" s="338" t="s">
        <v>409</v>
      </c>
      <c r="P4233" s="338" t="s">
        <v>443</v>
      </c>
    </row>
    <row r="4234" spans="2:16" x14ac:dyDescent="0.25">
      <c r="B4234" s="336" t="s">
        <v>416</v>
      </c>
      <c r="C4234" s="337">
        <v>38748</v>
      </c>
      <c r="D4234" s="338" t="s">
        <v>1934</v>
      </c>
      <c r="E4234" s="336" t="s">
        <v>1933</v>
      </c>
      <c r="F4234" s="338"/>
      <c r="G4234" s="338" t="s">
        <v>413</v>
      </c>
      <c r="H4234" s="338" t="s">
        <v>425</v>
      </c>
      <c r="I4234" s="338" t="s">
        <v>411</v>
      </c>
      <c r="J4234" s="339"/>
      <c r="K4234" s="339"/>
      <c r="L4234" s="339" t="s">
        <v>409</v>
      </c>
      <c r="M4234" s="339" t="s">
        <v>409</v>
      </c>
      <c r="N4234" s="338" t="s">
        <v>417</v>
      </c>
      <c r="O4234" s="338" t="s">
        <v>409</v>
      </c>
      <c r="P4234" s="338"/>
    </row>
    <row r="4235" spans="2:16" x14ac:dyDescent="0.25">
      <c r="B4235" s="336" t="s">
        <v>416</v>
      </c>
      <c r="C4235" s="337">
        <v>38748</v>
      </c>
      <c r="D4235" s="338" t="s">
        <v>1932</v>
      </c>
      <c r="E4235" s="336" t="s">
        <v>1931</v>
      </c>
      <c r="F4235" s="338"/>
      <c r="G4235" s="338" t="s">
        <v>413</v>
      </c>
      <c r="H4235" s="338" t="s">
        <v>425</v>
      </c>
      <c r="I4235" s="338" t="s">
        <v>411</v>
      </c>
      <c r="J4235" s="339"/>
      <c r="K4235" s="339"/>
      <c r="L4235" s="339" t="s">
        <v>409</v>
      </c>
      <c r="M4235" s="339" t="s">
        <v>409</v>
      </c>
      <c r="N4235" s="338" t="s">
        <v>417</v>
      </c>
      <c r="O4235" s="338" t="s">
        <v>409</v>
      </c>
      <c r="P4235" s="338" t="s">
        <v>417</v>
      </c>
    </row>
    <row r="4236" spans="2:16" x14ac:dyDescent="0.25">
      <c r="B4236" s="336" t="s">
        <v>416</v>
      </c>
      <c r="C4236" s="337">
        <v>38747</v>
      </c>
      <c r="D4236" s="338" t="s">
        <v>1930</v>
      </c>
      <c r="E4236" s="336" t="s">
        <v>1929</v>
      </c>
      <c r="F4236" s="338"/>
      <c r="G4236" s="338" t="s">
        <v>413</v>
      </c>
      <c r="H4236" s="338" t="s">
        <v>412</v>
      </c>
      <c r="I4236" s="338" t="s">
        <v>411</v>
      </c>
      <c r="J4236" s="339"/>
      <c r="K4236" s="339"/>
      <c r="L4236" s="339" t="s">
        <v>409</v>
      </c>
      <c r="M4236" s="339" t="s">
        <v>409</v>
      </c>
      <c r="N4236" s="338" t="s">
        <v>417</v>
      </c>
      <c r="O4236" s="338" t="s">
        <v>409</v>
      </c>
      <c r="P4236" s="338" t="s">
        <v>482</v>
      </c>
    </row>
    <row r="4237" spans="2:16" x14ac:dyDescent="0.25">
      <c r="B4237" s="336" t="s">
        <v>416</v>
      </c>
      <c r="C4237" s="337">
        <v>38747</v>
      </c>
      <c r="D4237" s="338" t="s">
        <v>1928</v>
      </c>
      <c r="E4237" s="336" t="s">
        <v>514</v>
      </c>
      <c r="F4237" s="338" t="s">
        <v>457</v>
      </c>
      <c r="G4237" s="338" t="s">
        <v>413</v>
      </c>
      <c r="H4237" s="338" t="s">
        <v>425</v>
      </c>
      <c r="I4237" s="338" t="s">
        <v>411</v>
      </c>
      <c r="J4237" s="339"/>
      <c r="K4237" s="339"/>
      <c r="L4237" s="339"/>
      <c r="M4237" s="339"/>
      <c r="N4237" s="338"/>
      <c r="O4237" s="338" t="s">
        <v>417</v>
      </c>
      <c r="P4237" s="338"/>
    </row>
    <row r="4238" spans="2:16" x14ac:dyDescent="0.25">
      <c r="B4238" s="336" t="s">
        <v>416</v>
      </c>
      <c r="C4238" s="337">
        <v>38747</v>
      </c>
      <c r="D4238" s="338" t="s">
        <v>1927</v>
      </c>
      <c r="E4238" s="336" t="s">
        <v>1926</v>
      </c>
      <c r="F4238" s="338"/>
      <c r="G4238" s="338" t="s">
        <v>413</v>
      </c>
      <c r="H4238" s="338" t="s">
        <v>412</v>
      </c>
      <c r="I4238" s="338" t="s">
        <v>411</v>
      </c>
      <c r="J4238" s="339"/>
      <c r="K4238" s="339"/>
      <c r="L4238" s="339" t="s">
        <v>409</v>
      </c>
      <c r="M4238" s="339" t="s">
        <v>409</v>
      </c>
      <c r="N4238" s="338" t="s">
        <v>417</v>
      </c>
      <c r="O4238" s="338" t="s">
        <v>409</v>
      </c>
      <c r="P4238" s="338" t="s">
        <v>417</v>
      </c>
    </row>
    <row r="4239" spans="2:16" x14ac:dyDescent="0.25">
      <c r="B4239" s="336" t="s">
        <v>416</v>
      </c>
      <c r="C4239" s="337">
        <v>38744</v>
      </c>
      <c r="D4239" s="338" t="s">
        <v>1925</v>
      </c>
      <c r="E4239" s="336" t="s">
        <v>1924</v>
      </c>
      <c r="F4239" s="338"/>
      <c r="G4239" s="338" t="s">
        <v>413</v>
      </c>
      <c r="H4239" s="338" t="s">
        <v>425</v>
      </c>
      <c r="I4239" s="338" t="s">
        <v>411</v>
      </c>
      <c r="J4239" s="339"/>
      <c r="K4239" s="339"/>
      <c r="L4239" s="339" t="s">
        <v>409</v>
      </c>
      <c r="M4239" s="339" t="s">
        <v>409</v>
      </c>
      <c r="N4239" s="338"/>
      <c r="O4239" s="338" t="s">
        <v>409</v>
      </c>
      <c r="P4239" s="338" t="s">
        <v>432</v>
      </c>
    </row>
    <row r="4240" spans="2:16" x14ac:dyDescent="0.25">
      <c r="B4240" s="336" t="s">
        <v>416</v>
      </c>
      <c r="C4240" s="337">
        <v>38744</v>
      </c>
      <c r="D4240" s="338" t="s">
        <v>1923</v>
      </c>
      <c r="E4240" s="336" t="s">
        <v>1922</v>
      </c>
      <c r="F4240" s="338"/>
      <c r="G4240" s="338">
        <v>24</v>
      </c>
      <c r="H4240" s="338" t="s">
        <v>425</v>
      </c>
      <c r="I4240" s="338" t="s">
        <v>411</v>
      </c>
      <c r="J4240" s="339"/>
      <c r="K4240" s="339"/>
      <c r="L4240" s="339" t="s">
        <v>409</v>
      </c>
      <c r="M4240" s="339" t="s">
        <v>409</v>
      </c>
      <c r="N4240" s="338" t="s">
        <v>417</v>
      </c>
      <c r="O4240" s="338" t="s">
        <v>409</v>
      </c>
      <c r="P4240" s="338" t="s">
        <v>443</v>
      </c>
    </row>
    <row r="4241" spans="2:16" x14ac:dyDescent="0.25">
      <c r="B4241" s="336" t="s">
        <v>416</v>
      </c>
      <c r="C4241" s="337">
        <v>38742</v>
      </c>
      <c r="D4241" s="338" t="s">
        <v>1921</v>
      </c>
      <c r="E4241" s="336" t="s">
        <v>1920</v>
      </c>
      <c r="F4241" s="338" t="s">
        <v>1919</v>
      </c>
      <c r="G4241" s="338">
        <v>15.2</v>
      </c>
      <c r="H4241" s="338" t="s">
        <v>425</v>
      </c>
      <c r="I4241" s="338" t="s">
        <v>411</v>
      </c>
      <c r="J4241" s="339"/>
      <c r="K4241" s="339"/>
      <c r="L4241" s="339"/>
      <c r="M4241" s="339"/>
      <c r="N4241" s="338"/>
      <c r="O4241" s="338" t="s">
        <v>417</v>
      </c>
      <c r="P4241" s="338" t="s">
        <v>417</v>
      </c>
    </row>
    <row r="4242" spans="2:16" x14ac:dyDescent="0.25">
      <c r="B4242" s="336" t="s">
        <v>416</v>
      </c>
      <c r="C4242" s="337">
        <v>38742</v>
      </c>
      <c r="D4242" s="338" t="s">
        <v>1918</v>
      </c>
      <c r="E4242" s="336" t="s">
        <v>1917</v>
      </c>
      <c r="F4242" s="338" t="s">
        <v>1916</v>
      </c>
      <c r="G4242" s="338" t="s">
        <v>413</v>
      </c>
      <c r="H4242" s="338" t="s">
        <v>425</v>
      </c>
      <c r="I4242" s="338" t="s">
        <v>411</v>
      </c>
      <c r="J4242" s="339"/>
      <c r="K4242" s="339"/>
      <c r="L4242" s="339"/>
      <c r="M4242" s="339"/>
      <c r="N4242" s="338"/>
      <c r="O4242" s="338" t="s">
        <v>408</v>
      </c>
      <c r="P4242" s="338" t="s">
        <v>408</v>
      </c>
    </row>
    <row r="4243" spans="2:16" x14ac:dyDescent="0.25">
      <c r="B4243" s="336" t="s">
        <v>416</v>
      </c>
      <c r="C4243" s="337">
        <v>38741</v>
      </c>
      <c r="D4243" s="338" t="s">
        <v>1915</v>
      </c>
      <c r="E4243" s="336" t="s">
        <v>1914</v>
      </c>
      <c r="F4243" s="338"/>
      <c r="G4243" s="338" t="s">
        <v>413</v>
      </c>
      <c r="H4243" s="338" t="s">
        <v>425</v>
      </c>
      <c r="I4243" s="338" t="s">
        <v>411</v>
      </c>
      <c r="J4243" s="339"/>
      <c r="K4243" s="339"/>
      <c r="L4243" s="339" t="s">
        <v>409</v>
      </c>
      <c r="M4243" s="339" t="s">
        <v>409</v>
      </c>
      <c r="N4243" s="338" t="s">
        <v>417</v>
      </c>
      <c r="O4243" s="338" t="s">
        <v>409</v>
      </c>
      <c r="P4243" s="338" t="s">
        <v>443</v>
      </c>
    </row>
    <row r="4244" spans="2:16" x14ac:dyDescent="0.25">
      <c r="B4244" s="336" t="s">
        <v>416</v>
      </c>
      <c r="C4244" s="337">
        <v>38741</v>
      </c>
      <c r="D4244" s="338" t="s">
        <v>1913</v>
      </c>
      <c r="E4244" s="336" t="s">
        <v>656</v>
      </c>
      <c r="F4244" s="338"/>
      <c r="G4244" s="338" t="s">
        <v>413</v>
      </c>
      <c r="H4244" s="338" t="s">
        <v>412</v>
      </c>
      <c r="I4244" s="338" t="s">
        <v>411</v>
      </c>
      <c r="J4244" s="339"/>
      <c r="K4244" s="339"/>
      <c r="L4244" s="339" t="s">
        <v>409</v>
      </c>
      <c r="M4244" s="339" t="s">
        <v>409</v>
      </c>
      <c r="N4244" s="338" t="s">
        <v>417</v>
      </c>
      <c r="O4244" s="338" t="s">
        <v>409</v>
      </c>
      <c r="P4244" s="338" t="s">
        <v>408</v>
      </c>
    </row>
    <row r="4245" spans="2:16" x14ac:dyDescent="0.25">
      <c r="B4245" s="336" t="s">
        <v>416</v>
      </c>
      <c r="C4245" s="337">
        <v>38741</v>
      </c>
      <c r="D4245" s="338" t="s">
        <v>1912</v>
      </c>
      <c r="E4245" s="336" t="s">
        <v>1911</v>
      </c>
      <c r="F4245" s="338" t="s">
        <v>1910</v>
      </c>
      <c r="G4245" s="338" t="s">
        <v>413</v>
      </c>
      <c r="H4245" s="338" t="s">
        <v>425</v>
      </c>
      <c r="I4245" s="338" t="s">
        <v>411</v>
      </c>
      <c r="J4245" s="339"/>
      <c r="K4245" s="339"/>
      <c r="L4245" s="339">
        <v>9.7727400000000006E-2</v>
      </c>
      <c r="M4245" s="339">
        <v>2.5076200000000002</v>
      </c>
      <c r="N4245" s="338"/>
      <c r="O4245" s="338" t="s">
        <v>417</v>
      </c>
      <c r="P4245" s="338" t="s">
        <v>417</v>
      </c>
    </row>
    <row r="4246" spans="2:16" x14ac:dyDescent="0.25">
      <c r="B4246" s="336" t="s">
        <v>416</v>
      </c>
      <c r="C4246" s="337">
        <v>38741</v>
      </c>
      <c r="D4246" s="338" t="s">
        <v>1909</v>
      </c>
      <c r="E4246" s="336" t="s">
        <v>1079</v>
      </c>
      <c r="F4246" s="338"/>
      <c r="G4246" s="338" t="s">
        <v>413</v>
      </c>
      <c r="H4246" s="338" t="s">
        <v>412</v>
      </c>
      <c r="I4246" s="338" t="s">
        <v>411</v>
      </c>
      <c r="J4246" s="339"/>
      <c r="K4246" s="339"/>
      <c r="L4246" s="339" t="s">
        <v>409</v>
      </c>
      <c r="M4246" s="339" t="s">
        <v>409</v>
      </c>
      <c r="N4246" s="338" t="s">
        <v>417</v>
      </c>
      <c r="O4246" s="338" t="s">
        <v>409</v>
      </c>
      <c r="P4246" s="338" t="s">
        <v>417</v>
      </c>
    </row>
    <row r="4247" spans="2:16" x14ac:dyDescent="0.25">
      <c r="B4247" s="336" t="s">
        <v>416</v>
      </c>
      <c r="C4247" s="337">
        <v>38741</v>
      </c>
      <c r="D4247" s="338" t="s">
        <v>1908</v>
      </c>
      <c r="E4247" s="336" t="s">
        <v>1079</v>
      </c>
      <c r="F4247" s="338"/>
      <c r="G4247" s="338" t="s">
        <v>413</v>
      </c>
      <c r="H4247" s="338" t="s">
        <v>412</v>
      </c>
      <c r="I4247" s="338" t="s">
        <v>411</v>
      </c>
      <c r="J4247" s="339"/>
      <c r="K4247" s="339"/>
      <c r="L4247" s="339" t="s">
        <v>409</v>
      </c>
      <c r="M4247" s="339" t="s">
        <v>409</v>
      </c>
      <c r="N4247" s="338" t="s">
        <v>417</v>
      </c>
      <c r="O4247" s="338" t="s">
        <v>409</v>
      </c>
      <c r="P4247" s="338" t="s">
        <v>417</v>
      </c>
    </row>
    <row r="4248" spans="2:16" x14ac:dyDescent="0.25">
      <c r="B4248" s="336" t="s">
        <v>416</v>
      </c>
      <c r="C4248" s="337">
        <v>38741</v>
      </c>
      <c r="D4248" s="338" t="s">
        <v>1907</v>
      </c>
      <c r="E4248" s="336" t="s">
        <v>1906</v>
      </c>
      <c r="F4248" s="338"/>
      <c r="G4248" s="338">
        <v>7.36</v>
      </c>
      <c r="H4248" s="338" t="s">
        <v>429</v>
      </c>
      <c r="I4248" s="338" t="s">
        <v>411</v>
      </c>
      <c r="J4248" s="339"/>
      <c r="K4248" s="339"/>
      <c r="L4248" s="339" t="s">
        <v>409</v>
      </c>
      <c r="M4248" s="339" t="s">
        <v>409</v>
      </c>
      <c r="N4248" s="338" t="s">
        <v>410</v>
      </c>
      <c r="O4248" s="338" t="s">
        <v>409</v>
      </c>
      <c r="P4248" s="338" t="s">
        <v>417</v>
      </c>
    </row>
    <row r="4249" spans="2:16" x14ac:dyDescent="0.25">
      <c r="B4249" s="336" t="s">
        <v>416</v>
      </c>
      <c r="C4249" s="337">
        <v>38740</v>
      </c>
      <c r="D4249" s="338" t="s">
        <v>1905</v>
      </c>
      <c r="E4249" s="336" t="s">
        <v>1904</v>
      </c>
      <c r="F4249" s="338" t="s">
        <v>1903</v>
      </c>
      <c r="G4249" s="338" t="s">
        <v>413</v>
      </c>
      <c r="H4249" s="338" t="s">
        <v>425</v>
      </c>
      <c r="I4249" s="338" t="s">
        <v>411</v>
      </c>
      <c r="J4249" s="339"/>
      <c r="K4249" s="339"/>
      <c r="L4249" s="339"/>
      <c r="M4249" s="339"/>
      <c r="N4249" s="338"/>
      <c r="O4249" s="338" t="s">
        <v>417</v>
      </c>
      <c r="P4249" s="338" t="s">
        <v>417</v>
      </c>
    </row>
    <row r="4250" spans="2:16" x14ac:dyDescent="0.25">
      <c r="B4250" s="336" t="s">
        <v>416</v>
      </c>
      <c r="C4250" s="337">
        <v>38740</v>
      </c>
      <c r="D4250" s="338" t="s">
        <v>1902</v>
      </c>
      <c r="E4250" s="336" t="s">
        <v>1901</v>
      </c>
      <c r="F4250" s="338"/>
      <c r="G4250" s="338">
        <v>1361.14</v>
      </c>
      <c r="H4250" s="338" t="s">
        <v>425</v>
      </c>
      <c r="I4250" s="338" t="s">
        <v>411</v>
      </c>
      <c r="J4250" s="339">
        <v>0.467586</v>
      </c>
      <c r="K4250" s="339">
        <v>6.5164200000000001</v>
      </c>
      <c r="L4250" s="339" t="s">
        <v>409</v>
      </c>
      <c r="M4250" s="339" t="s">
        <v>409</v>
      </c>
      <c r="N4250" s="338" t="s">
        <v>417</v>
      </c>
      <c r="O4250" s="338" t="s">
        <v>409</v>
      </c>
      <c r="P4250" s="338"/>
    </row>
    <row r="4251" spans="2:16" x14ac:dyDescent="0.25">
      <c r="B4251" s="336" t="s">
        <v>416</v>
      </c>
      <c r="C4251" s="337">
        <v>38740</v>
      </c>
      <c r="D4251" s="338" t="s">
        <v>1900</v>
      </c>
      <c r="E4251" s="336" t="s">
        <v>1899</v>
      </c>
      <c r="F4251" s="338"/>
      <c r="G4251" s="338">
        <v>16118.62</v>
      </c>
      <c r="H4251" s="338" t="s">
        <v>429</v>
      </c>
      <c r="I4251" s="338" t="s">
        <v>411</v>
      </c>
      <c r="J4251" s="339">
        <v>0.37517499999999998</v>
      </c>
      <c r="K4251" s="339">
        <v>6.1096700000000004</v>
      </c>
      <c r="L4251" s="339" t="s">
        <v>409</v>
      </c>
      <c r="M4251" s="339" t="s">
        <v>409</v>
      </c>
      <c r="N4251" s="338" t="s">
        <v>410</v>
      </c>
      <c r="O4251" s="338" t="s">
        <v>409</v>
      </c>
      <c r="P4251" s="338"/>
    </row>
    <row r="4252" spans="2:16" x14ac:dyDescent="0.25">
      <c r="B4252" s="336" t="s">
        <v>416</v>
      </c>
      <c r="C4252" s="337">
        <v>38737</v>
      </c>
      <c r="D4252" s="338" t="s">
        <v>1898</v>
      </c>
      <c r="E4252" s="336" t="s">
        <v>1897</v>
      </c>
      <c r="F4252" s="338" t="s">
        <v>1896</v>
      </c>
      <c r="G4252" s="338" t="s">
        <v>413</v>
      </c>
      <c r="H4252" s="338" t="s">
        <v>425</v>
      </c>
      <c r="I4252" s="338" t="s">
        <v>411</v>
      </c>
      <c r="J4252" s="339"/>
      <c r="K4252" s="339"/>
      <c r="L4252" s="339"/>
      <c r="M4252" s="339"/>
      <c r="N4252" s="338"/>
      <c r="O4252" s="338" t="s">
        <v>417</v>
      </c>
      <c r="P4252" s="338" t="s">
        <v>543</v>
      </c>
    </row>
    <row r="4253" spans="2:16" x14ac:dyDescent="0.25">
      <c r="B4253" s="336" t="s">
        <v>416</v>
      </c>
      <c r="C4253" s="337">
        <v>38737</v>
      </c>
      <c r="D4253" s="338" t="s">
        <v>1625</v>
      </c>
      <c r="E4253" s="336" t="s">
        <v>1895</v>
      </c>
      <c r="F4253" s="338"/>
      <c r="G4253" s="338" t="s">
        <v>413</v>
      </c>
      <c r="H4253" s="338" t="s">
        <v>412</v>
      </c>
      <c r="I4253" s="338" t="s">
        <v>411</v>
      </c>
      <c r="J4253" s="339"/>
      <c r="K4253" s="339"/>
      <c r="L4253" s="339" t="s">
        <v>409</v>
      </c>
      <c r="M4253" s="339" t="s">
        <v>409</v>
      </c>
      <c r="N4253" s="338" t="s">
        <v>417</v>
      </c>
      <c r="O4253" s="338" t="s">
        <v>409</v>
      </c>
      <c r="P4253" s="338" t="s">
        <v>443</v>
      </c>
    </row>
    <row r="4254" spans="2:16" x14ac:dyDescent="0.25">
      <c r="B4254" s="336" t="s">
        <v>416</v>
      </c>
      <c r="C4254" s="337">
        <v>38735</v>
      </c>
      <c r="D4254" s="338" t="s">
        <v>1894</v>
      </c>
      <c r="E4254" s="336" t="s">
        <v>712</v>
      </c>
      <c r="F4254" s="338"/>
      <c r="G4254" s="338">
        <v>1874.93</v>
      </c>
      <c r="H4254" s="338" t="s">
        <v>425</v>
      </c>
      <c r="I4254" s="338" t="s">
        <v>411</v>
      </c>
      <c r="J4254" s="339"/>
      <c r="K4254" s="339"/>
      <c r="L4254" s="339" t="s">
        <v>409</v>
      </c>
      <c r="M4254" s="339" t="s">
        <v>409</v>
      </c>
      <c r="N4254" s="338" t="s">
        <v>417</v>
      </c>
      <c r="O4254" s="338" t="s">
        <v>409</v>
      </c>
      <c r="P4254" s="338" t="s">
        <v>443</v>
      </c>
    </row>
    <row r="4255" spans="2:16" x14ac:dyDescent="0.25">
      <c r="B4255" s="336" t="s">
        <v>416</v>
      </c>
      <c r="C4255" s="337">
        <v>38735</v>
      </c>
      <c r="D4255" s="338" t="s">
        <v>1893</v>
      </c>
      <c r="E4255" s="336" t="s">
        <v>1892</v>
      </c>
      <c r="F4255" s="338"/>
      <c r="G4255" s="338">
        <v>3</v>
      </c>
      <c r="H4255" s="338" t="s">
        <v>425</v>
      </c>
      <c r="I4255" s="338" t="s">
        <v>411</v>
      </c>
      <c r="J4255" s="339"/>
      <c r="K4255" s="339"/>
      <c r="L4255" s="339" t="s">
        <v>409</v>
      </c>
      <c r="M4255" s="339" t="s">
        <v>409</v>
      </c>
      <c r="N4255" s="338" t="s">
        <v>432</v>
      </c>
      <c r="O4255" s="338" t="s">
        <v>409</v>
      </c>
      <c r="P4255" s="338" t="s">
        <v>432</v>
      </c>
    </row>
    <row r="4256" spans="2:16" x14ac:dyDescent="0.25">
      <c r="B4256" s="336" t="s">
        <v>416</v>
      </c>
      <c r="C4256" s="337">
        <v>38734</v>
      </c>
      <c r="D4256" s="338" t="s">
        <v>1891</v>
      </c>
      <c r="E4256" s="336" t="s">
        <v>1890</v>
      </c>
      <c r="F4256" s="338"/>
      <c r="G4256" s="338">
        <v>27.5</v>
      </c>
      <c r="H4256" s="338" t="s">
        <v>425</v>
      </c>
      <c r="I4256" s="338" t="s">
        <v>411</v>
      </c>
      <c r="J4256" s="339"/>
      <c r="K4256" s="339"/>
      <c r="L4256" s="339" t="s">
        <v>409</v>
      </c>
      <c r="M4256" s="339" t="s">
        <v>409</v>
      </c>
      <c r="N4256" s="338" t="s">
        <v>417</v>
      </c>
      <c r="O4256" s="338" t="s">
        <v>409</v>
      </c>
      <c r="P4256" s="338" t="s">
        <v>417</v>
      </c>
    </row>
    <row r="4257" spans="2:16" x14ac:dyDescent="0.25">
      <c r="B4257" s="336" t="s">
        <v>416</v>
      </c>
      <c r="C4257" s="337">
        <v>38734</v>
      </c>
      <c r="D4257" s="338" t="s">
        <v>1889</v>
      </c>
      <c r="E4257" s="336" t="s">
        <v>1888</v>
      </c>
      <c r="F4257" s="338" t="s">
        <v>1887</v>
      </c>
      <c r="G4257" s="338" t="s">
        <v>413</v>
      </c>
      <c r="H4257" s="338" t="s">
        <v>425</v>
      </c>
      <c r="I4257" s="338" t="s">
        <v>411</v>
      </c>
      <c r="J4257" s="339"/>
      <c r="K4257" s="339"/>
      <c r="L4257" s="339"/>
      <c r="M4257" s="339"/>
      <c r="N4257" s="338"/>
      <c r="O4257" s="338" t="s">
        <v>432</v>
      </c>
      <c r="P4257" s="338" t="s">
        <v>432</v>
      </c>
    </row>
    <row r="4258" spans="2:16" x14ac:dyDescent="0.25">
      <c r="B4258" s="336" t="s">
        <v>416</v>
      </c>
      <c r="C4258" s="337">
        <v>38733</v>
      </c>
      <c r="D4258" s="338" t="s">
        <v>1886</v>
      </c>
      <c r="E4258" s="336" t="s">
        <v>463</v>
      </c>
      <c r="F4258" s="338"/>
      <c r="G4258" s="338" t="s">
        <v>413</v>
      </c>
      <c r="H4258" s="338" t="s">
        <v>425</v>
      </c>
      <c r="I4258" s="338" t="s">
        <v>411</v>
      </c>
      <c r="J4258" s="339"/>
      <c r="K4258" s="339"/>
      <c r="L4258" s="339" t="s">
        <v>409</v>
      </c>
      <c r="M4258" s="339" t="s">
        <v>409</v>
      </c>
      <c r="N4258" s="338"/>
      <c r="O4258" s="338" t="s">
        <v>409</v>
      </c>
      <c r="P4258" s="338" t="s">
        <v>417</v>
      </c>
    </row>
    <row r="4259" spans="2:16" x14ac:dyDescent="0.25">
      <c r="B4259" s="336" t="s">
        <v>416</v>
      </c>
      <c r="C4259" s="337">
        <v>38733</v>
      </c>
      <c r="D4259" s="338" t="s">
        <v>1885</v>
      </c>
      <c r="E4259" s="336" t="s">
        <v>1884</v>
      </c>
      <c r="F4259" s="338" t="s">
        <v>1883</v>
      </c>
      <c r="G4259" s="338" t="s">
        <v>413</v>
      </c>
      <c r="H4259" s="338" t="s">
        <v>425</v>
      </c>
      <c r="I4259" s="338" t="s">
        <v>411</v>
      </c>
      <c r="J4259" s="339"/>
      <c r="K4259" s="339"/>
      <c r="L4259" s="339"/>
      <c r="M4259" s="339"/>
      <c r="N4259" s="338"/>
      <c r="O4259" s="338" t="s">
        <v>605</v>
      </c>
      <c r="P4259" s="338" t="s">
        <v>417</v>
      </c>
    </row>
    <row r="4260" spans="2:16" x14ac:dyDescent="0.25">
      <c r="B4260" s="336" t="s">
        <v>416</v>
      </c>
      <c r="C4260" s="337">
        <v>38730</v>
      </c>
      <c r="D4260" s="338" t="s">
        <v>956</v>
      </c>
      <c r="E4260" s="336" t="s">
        <v>1121</v>
      </c>
      <c r="F4260" s="338"/>
      <c r="G4260" s="338" t="s">
        <v>413</v>
      </c>
      <c r="H4260" s="338" t="s">
        <v>425</v>
      </c>
      <c r="I4260" s="338" t="s">
        <v>411</v>
      </c>
      <c r="J4260" s="339"/>
      <c r="K4260" s="339"/>
      <c r="L4260" s="339" t="s">
        <v>409</v>
      </c>
      <c r="M4260" s="339" t="s">
        <v>409</v>
      </c>
      <c r="N4260" s="338"/>
      <c r="O4260" s="338" t="s">
        <v>409</v>
      </c>
      <c r="P4260" s="338" t="s">
        <v>417</v>
      </c>
    </row>
    <row r="4261" spans="2:16" x14ac:dyDescent="0.25">
      <c r="B4261" s="336" t="s">
        <v>416</v>
      </c>
      <c r="C4261" s="337">
        <v>38729</v>
      </c>
      <c r="D4261" s="338" t="s">
        <v>1882</v>
      </c>
      <c r="E4261" s="336" t="s">
        <v>1396</v>
      </c>
      <c r="F4261" s="338"/>
      <c r="G4261" s="338" t="s">
        <v>413</v>
      </c>
      <c r="H4261" s="338" t="s">
        <v>425</v>
      </c>
      <c r="I4261" s="338" t="s">
        <v>411</v>
      </c>
      <c r="J4261" s="339"/>
      <c r="K4261" s="339"/>
      <c r="L4261" s="339" t="s">
        <v>409</v>
      </c>
      <c r="M4261" s="339" t="s">
        <v>409</v>
      </c>
      <c r="N4261" s="338"/>
      <c r="O4261" s="338" t="s">
        <v>409</v>
      </c>
      <c r="P4261" s="338" t="s">
        <v>417</v>
      </c>
    </row>
    <row r="4262" spans="2:16" x14ac:dyDescent="0.25">
      <c r="B4262" s="336" t="s">
        <v>416</v>
      </c>
      <c r="C4262" s="337">
        <v>38729</v>
      </c>
      <c r="D4262" s="338" t="s">
        <v>1881</v>
      </c>
      <c r="E4262" s="336" t="s">
        <v>1396</v>
      </c>
      <c r="F4262" s="338"/>
      <c r="G4262" s="338" t="s">
        <v>413</v>
      </c>
      <c r="H4262" s="338" t="s">
        <v>425</v>
      </c>
      <c r="I4262" s="338" t="s">
        <v>411</v>
      </c>
      <c r="J4262" s="339"/>
      <c r="K4262" s="339"/>
      <c r="L4262" s="339" t="s">
        <v>409</v>
      </c>
      <c r="M4262" s="339" t="s">
        <v>409</v>
      </c>
      <c r="N4262" s="338"/>
      <c r="O4262" s="338" t="s">
        <v>409</v>
      </c>
      <c r="P4262" s="338" t="s">
        <v>417</v>
      </c>
    </row>
    <row r="4263" spans="2:16" x14ac:dyDescent="0.25">
      <c r="B4263" s="336" t="s">
        <v>416</v>
      </c>
      <c r="C4263" s="337">
        <v>38729</v>
      </c>
      <c r="D4263" s="338" t="s">
        <v>1880</v>
      </c>
      <c r="E4263" s="336" t="s">
        <v>1879</v>
      </c>
      <c r="F4263" s="338" t="s">
        <v>980</v>
      </c>
      <c r="G4263" s="338">
        <v>1195</v>
      </c>
      <c r="H4263" s="338" t="s">
        <v>425</v>
      </c>
      <c r="I4263" s="338" t="s">
        <v>411</v>
      </c>
      <c r="J4263" s="339"/>
      <c r="K4263" s="339"/>
      <c r="L4263" s="339">
        <v>0.87109899999999996</v>
      </c>
      <c r="M4263" s="339">
        <v>6.4264900000000003</v>
      </c>
      <c r="N4263" s="338"/>
      <c r="O4263" s="338" t="s">
        <v>417</v>
      </c>
      <c r="P4263" s="338" t="s">
        <v>443</v>
      </c>
    </row>
    <row r="4264" spans="2:16" x14ac:dyDescent="0.25">
      <c r="B4264" s="336" t="s">
        <v>416</v>
      </c>
      <c r="C4264" s="337">
        <v>38728</v>
      </c>
      <c r="D4264" s="338" t="s">
        <v>1878</v>
      </c>
      <c r="E4264" s="336" t="s">
        <v>1877</v>
      </c>
      <c r="F4264" s="338"/>
      <c r="G4264" s="338" t="s">
        <v>413</v>
      </c>
      <c r="H4264" s="338" t="s">
        <v>425</v>
      </c>
      <c r="I4264" s="338" t="s">
        <v>411</v>
      </c>
      <c r="J4264" s="339"/>
      <c r="K4264" s="339"/>
      <c r="L4264" s="339" t="s">
        <v>409</v>
      </c>
      <c r="M4264" s="339" t="s">
        <v>409</v>
      </c>
      <c r="N4264" s="338"/>
      <c r="O4264" s="338" t="s">
        <v>409</v>
      </c>
      <c r="P4264" s="338" t="s">
        <v>417</v>
      </c>
    </row>
    <row r="4265" spans="2:16" x14ac:dyDescent="0.25">
      <c r="B4265" s="336" t="s">
        <v>416</v>
      </c>
      <c r="C4265" s="337">
        <v>38728</v>
      </c>
      <c r="D4265" s="338" t="s">
        <v>1876</v>
      </c>
      <c r="E4265" s="336" t="s">
        <v>1875</v>
      </c>
      <c r="F4265" s="338" t="s">
        <v>1476</v>
      </c>
      <c r="G4265" s="338" t="s">
        <v>413</v>
      </c>
      <c r="H4265" s="338" t="s">
        <v>425</v>
      </c>
      <c r="I4265" s="338" t="s">
        <v>411</v>
      </c>
      <c r="J4265" s="339"/>
      <c r="K4265" s="339"/>
      <c r="L4265" s="339">
        <v>1.35023</v>
      </c>
      <c r="M4265" s="339">
        <v>9.3802500000000002</v>
      </c>
      <c r="N4265" s="338"/>
      <c r="O4265" s="338" t="s">
        <v>417</v>
      </c>
      <c r="P4265" s="338" t="s">
        <v>417</v>
      </c>
    </row>
    <row r="4266" spans="2:16" x14ac:dyDescent="0.25">
      <c r="B4266" s="336" t="s">
        <v>416</v>
      </c>
      <c r="C4266" s="337">
        <v>38727</v>
      </c>
      <c r="D4266" s="338" t="s">
        <v>1874</v>
      </c>
      <c r="E4266" s="336" t="s">
        <v>831</v>
      </c>
      <c r="F4266" s="338"/>
      <c r="G4266" s="338">
        <v>3435.81</v>
      </c>
      <c r="H4266" s="338" t="s">
        <v>425</v>
      </c>
      <c r="I4266" s="338" t="s">
        <v>411</v>
      </c>
      <c r="J4266" s="339">
        <v>0.606151</v>
      </c>
      <c r="K4266" s="339">
        <v>10.635899999999999</v>
      </c>
      <c r="L4266" s="339" t="s">
        <v>409</v>
      </c>
      <c r="M4266" s="339" t="s">
        <v>409</v>
      </c>
      <c r="N4266" s="338" t="s">
        <v>417</v>
      </c>
      <c r="O4266" s="338" t="s">
        <v>409</v>
      </c>
      <c r="P4266" s="338" t="s">
        <v>417</v>
      </c>
    </row>
    <row r="4267" spans="2:16" x14ac:dyDescent="0.25">
      <c r="B4267" s="336" t="s">
        <v>416</v>
      </c>
      <c r="C4267" s="337">
        <v>38727</v>
      </c>
      <c r="D4267" s="338" t="s">
        <v>1873</v>
      </c>
      <c r="E4267" s="336" t="s">
        <v>1872</v>
      </c>
      <c r="F4267" s="338"/>
      <c r="G4267" s="338">
        <v>22.5</v>
      </c>
      <c r="H4267" s="338" t="s">
        <v>425</v>
      </c>
      <c r="I4267" s="338" t="s">
        <v>411</v>
      </c>
      <c r="J4267" s="339"/>
      <c r="K4267" s="339"/>
      <c r="L4267" s="339" t="s">
        <v>409</v>
      </c>
      <c r="M4267" s="339" t="s">
        <v>409</v>
      </c>
      <c r="N4267" s="338" t="s">
        <v>417</v>
      </c>
      <c r="O4267" s="338" t="s">
        <v>409</v>
      </c>
      <c r="P4267" s="338" t="s">
        <v>417</v>
      </c>
    </row>
    <row r="4268" spans="2:16" x14ac:dyDescent="0.25">
      <c r="B4268" s="336" t="s">
        <v>416</v>
      </c>
      <c r="C4268" s="337">
        <v>38727</v>
      </c>
      <c r="D4268" s="338" t="s">
        <v>1871</v>
      </c>
      <c r="E4268" s="336" t="s">
        <v>1870</v>
      </c>
      <c r="F4268" s="338"/>
      <c r="G4268" s="338">
        <v>4675.79</v>
      </c>
      <c r="H4268" s="338" t="s">
        <v>425</v>
      </c>
      <c r="I4268" s="338" t="s">
        <v>411</v>
      </c>
      <c r="J4268" s="339">
        <v>3.43</v>
      </c>
      <c r="K4268" s="339">
        <v>8.8471499999999992</v>
      </c>
      <c r="L4268" s="339" t="s">
        <v>409</v>
      </c>
      <c r="M4268" s="339" t="s">
        <v>409</v>
      </c>
      <c r="N4268" s="338" t="s">
        <v>417</v>
      </c>
      <c r="O4268" s="338" t="s">
        <v>409</v>
      </c>
      <c r="P4268" s="338" t="s">
        <v>417</v>
      </c>
    </row>
    <row r="4269" spans="2:16" x14ac:dyDescent="0.25">
      <c r="B4269" s="336" t="s">
        <v>416</v>
      </c>
      <c r="C4269" s="337">
        <v>38727</v>
      </c>
      <c r="D4269" s="338" t="s">
        <v>1869</v>
      </c>
      <c r="E4269" s="336" t="s">
        <v>1203</v>
      </c>
      <c r="F4269" s="338" t="s">
        <v>1868</v>
      </c>
      <c r="G4269" s="338" t="s">
        <v>413</v>
      </c>
      <c r="H4269" s="338" t="s">
        <v>425</v>
      </c>
      <c r="I4269" s="338" t="s">
        <v>411</v>
      </c>
      <c r="J4269" s="339"/>
      <c r="K4269" s="339"/>
      <c r="L4269" s="339"/>
      <c r="M4269" s="339"/>
      <c r="N4269" s="338"/>
      <c r="O4269" s="338" t="s">
        <v>417</v>
      </c>
      <c r="P4269" s="338" t="s">
        <v>417</v>
      </c>
    </row>
    <row r="4270" spans="2:16" x14ac:dyDescent="0.25">
      <c r="B4270" s="336" t="s">
        <v>416</v>
      </c>
      <c r="C4270" s="337">
        <v>38726</v>
      </c>
      <c r="D4270" s="338" t="s">
        <v>1867</v>
      </c>
      <c r="E4270" s="336" t="s">
        <v>1808</v>
      </c>
      <c r="F4270" s="338"/>
      <c r="G4270" s="338" t="s">
        <v>413</v>
      </c>
      <c r="H4270" s="338" t="s">
        <v>425</v>
      </c>
      <c r="I4270" s="338" t="s">
        <v>411</v>
      </c>
      <c r="J4270" s="339"/>
      <c r="K4270" s="339"/>
      <c r="L4270" s="339" t="s">
        <v>409</v>
      </c>
      <c r="M4270" s="339" t="s">
        <v>409</v>
      </c>
      <c r="N4270" s="338"/>
      <c r="O4270" s="338" t="s">
        <v>409</v>
      </c>
      <c r="P4270" s="338" t="s">
        <v>417</v>
      </c>
    </row>
    <row r="4271" spans="2:16" x14ac:dyDescent="0.25">
      <c r="B4271" s="336" t="s">
        <v>416</v>
      </c>
      <c r="C4271" s="337">
        <v>38726</v>
      </c>
      <c r="D4271" s="338" t="s">
        <v>1866</v>
      </c>
      <c r="E4271" s="336" t="s">
        <v>831</v>
      </c>
      <c r="F4271" s="338" t="s">
        <v>1705</v>
      </c>
      <c r="G4271" s="338" t="s">
        <v>413</v>
      </c>
      <c r="H4271" s="338" t="s">
        <v>412</v>
      </c>
      <c r="I4271" s="338" t="s">
        <v>411</v>
      </c>
      <c r="J4271" s="339"/>
      <c r="K4271" s="339"/>
      <c r="L4271" s="339"/>
      <c r="M4271" s="339"/>
      <c r="N4271" s="338" t="s">
        <v>410</v>
      </c>
      <c r="O4271" s="338" t="s">
        <v>443</v>
      </c>
      <c r="P4271" s="338" t="s">
        <v>417</v>
      </c>
    </row>
    <row r="4272" spans="2:16" x14ac:dyDescent="0.25">
      <c r="B4272" s="336" t="s">
        <v>416</v>
      </c>
      <c r="C4272" s="337">
        <v>38723</v>
      </c>
      <c r="D4272" s="338" t="s">
        <v>1865</v>
      </c>
      <c r="E4272" s="336" t="s">
        <v>1864</v>
      </c>
      <c r="F4272" s="338" t="s">
        <v>1863</v>
      </c>
      <c r="G4272" s="338" t="s">
        <v>413</v>
      </c>
      <c r="H4272" s="338" t="s">
        <v>425</v>
      </c>
      <c r="I4272" s="338" t="s">
        <v>411</v>
      </c>
      <c r="J4272" s="339"/>
      <c r="K4272" s="339"/>
      <c r="L4272" s="339"/>
      <c r="M4272" s="339"/>
      <c r="N4272" s="338"/>
      <c r="O4272" s="338" t="s">
        <v>417</v>
      </c>
      <c r="P4272" s="338" t="s">
        <v>443</v>
      </c>
    </row>
    <row r="4273" spans="2:16" x14ac:dyDescent="0.25">
      <c r="B4273" s="336" t="s">
        <v>416</v>
      </c>
      <c r="C4273" s="337">
        <v>38723</v>
      </c>
      <c r="D4273" s="338" t="s">
        <v>1040</v>
      </c>
      <c r="E4273" s="336" t="s">
        <v>1862</v>
      </c>
      <c r="F4273" s="338" t="s">
        <v>1861</v>
      </c>
      <c r="G4273" s="338" t="s">
        <v>413</v>
      </c>
      <c r="H4273" s="338" t="s">
        <v>412</v>
      </c>
      <c r="I4273" s="338" t="s">
        <v>411</v>
      </c>
      <c r="J4273" s="339"/>
      <c r="K4273" s="339"/>
      <c r="L4273" s="339"/>
      <c r="M4273" s="339"/>
      <c r="N4273" s="338" t="s">
        <v>417</v>
      </c>
      <c r="O4273" s="338" t="s">
        <v>443</v>
      </c>
      <c r="P4273" s="338" t="s">
        <v>443</v>
      </c>
    </row>
    <row r="4274" spans="2:16" x14ac:dyDescent="0.25">
      <c r="B4274" s="336" t="s">
        <v>416</v>
      </c>
      <c r="C4274" s="337">
        <v>38723</v>
      </c>
      <c r="D4274" s="338" t="s">
        <v>1860</v>
      </c>
      <c r="E4274" s="336" t="s">
        <v>1859</v>
      </c>
      <c r="F4274" s="338"/>
      <c r="G4274" s="338" t="s">
        <v>413</v>
      </c>
      <c r="H4274" s="338" t="s">
        <v>425</v>
      </c>
      <c r="I4274" s="338" t="s">
        <v>411</v>
      </c>
      <c r="J4274" s="339"/>
      <c r="K4274" s="339"/>
      <c r="L4274" s="339" t="s">
        <v>409</v>
      </c>
      <c r="M4274" s="339" t="s">
        <v>409</v>
      </c>
      <c r="N4274" s="338" t="s">
        <v>417</v>
      </c>
      <c r="O4274" s="338" t="s">
        <v>409</v>
      </c>
      <c r="P4274" s="338" t="s">
        <v>443</v>
      </c>
    </row>
    <row r="4275" spans="2:16" x14ac:dyDescent="0.25">
      <c r="B4275" s="336" t="s">
        <v>416</v>
      </c>
      <c r="C4275" s="337">
        <v>38722</v>
      </c>
      <c r="D4275" s="338" t="s">
        <v>1858</v>
      </c>
      <c r="E4275" s="336" t="s">
        <v>1857</v>
      </c>
      <c r="F4275" s="338"/>
      <c r="G4275" s="338" t="s">
        <v>413</v>
      </c>
      <c r="H4275" s="338" t="s">
        <v>412</v>
      </c>
      <c r="I4275" s="338" t="s">
        <v>411</v>
      </c>
      <c r="J4275" s="339"/>
      <c r="K4275" s="339"/>
      <c r="L4275" s="339" t="s">
        <v>409</v>
      </c>
      <c r="M4275" s="339" t="s">
        <v>409</v>
      </c>
      <c r="N4275" s="338" t="s">
        <v>417</v>
      </c>
      <c r="O4275" s="338" t="s">
        <v>409</v>
      </c>
      <c r="P4275" s="338" t="s">
        <v>443</v>
      </c>
    </row>
    <row r="4276" spans="2:16" x14ac:dyDescent="0.25">
      <c r="B4276" s="336" t="s">
        <v>416</v>
      </c>
      <c r="C4276" s="337">
        <v>38722</v>
      </c>
      <c r="D4276" s="338" t="s">
        <v>1856</v>
      </c>
      <c r="E4276" s="336" t="s">
        <v>1124</v>
      </c>
      <c r="F4276" s="338" t="s">
        <v>1855</v>
      </c>
      <c r="G4276" s="338">
        <v>119</v>
      </c>
      <c r="H4276" s="338" t="s">
        <v>425</v>
      </c>
      <c r="I4276" s="338" t="s">
        <v>411</v>
      </c>
      <c r="J4276" s="339"/>
      <c r="K4276" s="339"/>
      <c r="L4276" s="339">
        <v>1.1261000000000001</v>
      </c>
      <c r="M4276" s="339">
        <v>8.29068</v>
      </c>
      <c r="N4276" s="338"/>
      <c r="O4276" s="338" t="s">
        <v>417</v>
      </c>
      <c r="P4276" s="338" t="s">
        <v>443</v>
      </c>
    </row>
    <row r="4277" spans="2:16" x14ac:dyDescent="0.25">
      <c r="B4277" s="336" t="s">
        <v>416</v>
      </c>
      <c r="C4277" s="337">
        <v>38722</v>
      </c>
      <c r="D4277" s="338" t="s">
        <v>1854</v>
      </c>
      <c r="E4277" s="336" t="s">
        <v>1853</v>
      </c>
      <c r="F4277" s="338" t="s">
        <v>1852</v>
      </c>
      <c r="G4277" s="338" t="s">
        <v>413</v>
      </c>
      <c r="H4277" s="338" t="s">
        <v>425</v>
      </c>
      <c r="I4277" s="338" t="s">
        <v>411</v>
      </c>
      <c r="J4277" s="339"/>
      <c r="K4277" s="339"/>
      <c r="L4277" s="339"/>
      <c r="M4277" s="339"/>
      <c r="N4277" s="338"/>
      <c r="O4277" s="338" t="s">
        <v>410</v>
      </c>
      <c r="P4277" s="338" t="s">
        <v>417</v>
      </c>
    </row>
    <row r="4278" spans="2:16" x14ac:dyDescent="0.25">
      <c r="B4278" s="336" t="s">
        <v>416</v>
      </c>
      <c r="C4278" s="337">
        <v>38722</v>
      </c>
      <c r="D4278" s="338" t="s">
        <v>1851</v>
      </c>
      <c r="E4278" s="336" t="s">
        <v>1850</v>
      </c>
      <c r="F4278" s="338" t="s">
        <v>1849</v>
      </c>
      <c r="G4278" s="338" t="s">
        <v>413</v>
      </c>
      <c r="H4278" s="338" t="s">
        <v>425</v>
      </c>
      <c r="I4278" s="338" t="s">
        <v>411</v>
      </c>
      <c r="J4278" s="339"/>
      <c r="K4278" s="339"/>
      <c r="L4278" s="339"/>
      <c r="M4278" s="339"/>
      <c r="N4278" s="338"/>
      <c r="O4278" s="338" t="s">
        <v>417</v>
      </c>
      <c r="P4278" s="338" t="s">
        <v>443</v>
      </c>
    </row>
    <row r="4279" spans="2:16" x14ac:dyDescent="0.25">
      <c r="B4279" s="336" t="s">
        <v>416</v>
      </c>
      <c r="C4279" s="337">
        <v>38722</v>
      </c>
      <c r="D4279" s="338" t="s">
        <v>1848</v>
      </c>
      <c r="E4279" s="336" t="s">
        <v>1847</v>
      </c>
      <c r="F4279" s="338"/>
      <c r="G4279" s="338">
        <v>0.65</v>
      </c>
      <c r="H4279" s="338" t="s">
        <v>425</v>
      </c>
      <c r="I4279" s="338" t="s">
        <v>411</v>
      </c>
      <c r="J4279" s="339"/>
      <c r="K4279" s="339"/>
      <c r="L4279" s="339" t="s">
        <v>409</v>
      </c>
      <c r="M4279" s="339" t="s">
        <v>409</v>
      </c>
      <c r="N4279" s="338" t="s">
        <v>417</v>
      </c>
      <c r="O4279" s="338" t="s">
        <v>409</v>
      </c>
      <c r="P4279" s="338" t="s">
        <v>487</v>
      </c>
    </row>
    <row r="4280" spans="2:16" x14ac:dyDescent="0.25">
      <c r="B4280" s="336" t="s">
        <v>416</v>
      </c>
      <c r="C4280" s="337">
        <v>38722</v>
      </c>
      <c r="D4280" s="338" t="s">
        <v>146</v>
      </c>
      <c r="E4280" s="336" t="s">
        <v>1846</v>
      </c>
      <c r="F4280" s="338" t="s">
        <v>1845</v>
      </c>
      <c r="G4280" s="338" t="s">
        <v>413</v>
      </c>
      <c r="H4280" s="338" t="s">
        <v>425</v>
      </c>
      <c r="I4280" s="338" t="s">
        <v>411</v>
      </c>
      <c r="J4280" s="339"/>
      <c r="K4280" s="339"/>
      <c r="L4280" s="339"/>
      <c r="M4280" s="339"/>
      <c r="N4280" s="338"/>
      <c r="O4280" s="338" t="s">
        <v>417</v>
      </c>
      <c r="P4280" s="338" t="s">
        <v>417</v>
      </c>
    </row>
    <row r="4281" spans="2:16" x14ac:dyDescent="0.25">
      <c r="B4281" s="336" t="s">
        <v>416</v>
      </c>
      <c r="C4281" s="337">
        <v>38721</v>
      </c>
      <c r="D4281" s="338" t="s">
        <v>1844</v>
      </c>
      <c r="E4281" s="336" t="s">
        <v>1843</v>
      </c>
      <c r="F4281" s="338"/>
      <c r="G4281" s="338" t="s">
        <v>413</v>
      </c>
      <c r="H4281" s="338" t="s">
        <v>336</v>
      </c>
      <c r="I4281" s="338" t="s">
        <v>411</v>
      </c>
      <c r="J4281" s="339"/>
      <c r="K4281" s="339"/>
      <c r="L4281" s="339" t="s">
        <v>409</v>
      </c>
      <c r="M4281" s="339" t="s">
        <v>409</v>
      </c>
      <c r="N4281" s="338" t="s">
        <v>417</v>
      </c>
      <c r="O4281" s="338" t="s">
        <v>409</v>
      </c>
      <c r="P4281" s="338" t="s">
        <v>417</v>
      </c>
    </row>
    <row r="4282" spans="2:16" x14ac:dyDescent="0.25">
      <c r="B4282" s="336" t="s">
        <v>416</v>
      </c>
      <c r="C4282" s="337">
        <v>38721</v>
      </c>
      <c r="D4282" s="338" t="s">
        <v>1842</v>
      </c>
      <c r="E4282" s="336" t="s">
        <v>1841</v>
      </c>
      <c r="F4282" s="338"/>
      <c r="G4282" s="338" t="s">
        <v>413</v>
      </c>
      <c r="H4282" s="338" t="s">
        <v>412</v>
      </c>
      <c r="I4282" s="338" t="s">
        <v>411</v>
      </c>
      <c r="J4282" s="339"/>
      <c r="K4282" s="339"/>
      <c r="L4282" s="339" t="s">
        <v>409</v>
      </c>
      <c r="M4282" s="339" t="s">
        <v>409</v>
      </c>
      <c r="N4282" s="338" t="s">
        <v>417</v>
      </c>
      <c r="O4282" s="338" t="s">
        <v>409</v>
      </c>
      <c r="P4282" s="338" t="s">
        <v>417</v>
      </c>
    </row>
    <row r="4283" spans="2:16" x14ac:dyDescent="0.25">
      <c r="B4283" s="336" t="s">
        <v>416</v>
      </c>
      <c r="C4283" s="337">
        <v>38721</v>
      </c>
      <c r="D4283" s="338" t="s">
        <v>1840</v>
      </c>
      <c r="E4283" s="336" t="s">
        <v>1839</v>
      </c>
      <c r="F4283" s="338" t="s">
        <v>1838</v>
      </c>
      <c r="G4283" s="338">
        <v>1.9</v>
      </c>
      <c r="H4283" s="338" t="s">
        <v>425</v>
      </c>
      <c r="I4283" s="338" t="s">
        <v>411</v>
      </c>
      <c r="J4283" s="339"/>
      <c r="K4283" s="339"/>
      <c r="L4283" s="339">
        <v>0.57067999999999997</v>
      </c>
      <c r="M4283" s="339"/>
      <c r="N4283" s="338"/>
      <c r="O4283" s="338" t="s">
        <v>432</v>
      </c>
      <c r="P4283" s="338" t="s">
        <v>432</v>
      </c>
    </row>
    <row r="4284" spans="2:16" x14ac:dyDescent="0.25">
      <c r="B4284" s="336" t="s">
        <v>416</v>
      </c>
      <c r="C4284" s="337">
        <v>38720</v>
      </c>
      <c r="D4284" s="338" t="s">
        <v>945</v>
      </c>
      <c r="E4284" s="336" t="s">
        <v>1837</v>
      </c>
      <c r="F4284" s="338" t="s">
        <v>1836</v>
      </c>
      <c r="G4284" s="338" t="s">
        <v>413</v>
      </c>
      <c r="H4284" s="338" t="s">
        <v>425</v>
      </c>
      <c r="I4284" s="338" t="s">
        <v>411</v>
      </c>
      <c r="J4284" s="339"/>
      <c r="K4284" s="339"/>
      <c r="L4284" s="339"/>
      <c r="M4284" s="339"/>
      <c r="N4284" s="338"/>
      <c r="O4284" s="338" t="s">
        <v>417</v>
      </c>
      <c r="P4284" s="338" t="s">
        <v>410</v>
      </c>
    </row>
    <row r="4285" spans="2:16" x14ac:dyDescent="0.25">
      <c r="B4285" s="336" t="s">
        <v>416</v>
      </c>
      <c r="C4285" s="337">
        <v>38720</v>
      </c>
      <c r="D4285" s="338" t="s">
        <v>1835</v>
      </c>
      <c r="E4285" s="336" t="s">
        <v>1834</v>
      </c>
      <c r="F4285" s="338" t="s">
        <v>1833</v>
      </c>
      <c r="G4285" s="338" t="s">
        <v>413</v>
      </c>
      <c r="H4285" s="338" t="s">
        <v>412</v>
      </c>
      <c r="I4285" s="338" t="s">
        <v>411</v>
      </c>
      <c r="J4285" s="339"/>
      <c r="K4285" s="339"/>
      <c r="L4285" s="339"/>
      <c r="M4285" s="339"/>
      <c r="N4285" s="338" t="s">
        <v>417</v>
      </c>
      <c r="O4285" s="338" t="s">
        <v>443</v>
      </c>
      <c r="P4285" s="338" t="s">
        <v>443</v>
      </c>
    </row>
    <row r="4286" spans="2:16" x14ac:dyDescent="0.25">
      <c r="B4286" s="336" t="s">
        <v>416</v>
      </c>
      <c r="C4286" s="337">
        <v>38720</v>
      </c>
      <c r="D4286" s="338" t="s">
        <v>1832</v>
      </c>
      <c r="E4286" s="336" t="s">
        <v>1831</v>
      </c>
      <c r="F4286" s="338"/>
      <c r="G4286" s="338" t="s">
        <v>413</v>
      </c>
      <c r="H4286" s="338" t="s">
        <v>412</v>
      </c>
      <c r="I4286" s="338" t="s">
        <v>411</v>
      </c>
      <c r="J4286" s="339"/>
      <c r="K4286" s="339"/>
      <c r="L4286" s="339" t="s">
        <v>409</v>
      </c>
      <c r="M4286" s="339" t="s">
        <v>409</v>
      </c>
      <c r="N4286" s="338" t="s">
        <v>417</v>
      </c>
      <c r="O4286" s="338" t="s">
        <v>409</v>
      </c>
      <c r="P4286" s="338" t="s">
        <v>417</v>
      </c>
    </row>
    <row r="4287" spans="2:16" x14ac:dyDescent="0.25">
      <c r="B4287" s="336" t="s">
        <v>416</v>
      </c>
      <c r="C4287" s="337">
        <v>38720</v>
      </c>
      <c r="D4287" s="338" t="s">
        <v>1830</v>
      </c>
      <c r="E4287" s="336" t="s">
        <v>1829</v>
      </c>
      <c r="F4287" s="338"/>
      <c r="G4287" s="338">
        <v>1.56</v>
      </c>
      <c r="H4287" s="338" t="s">
        <v>336</v>
      </c>
      <c r="I4287" s="338" t="s">
        <v>411</v>
      </c>
      <c r="J4287" s="339"/>
      <c r="K4287" s="339"/>
      <c r="L4287" s="339" t="s">
        <v>409</v>
      </c>
      <c r="M4287" s="339" t="s">
        <v>409</v>
      </c>
      <c r="N4287" s="338" t="s">
        <v>417</v>
      </c>
      <c r="O4287" s="338" t="s">
        <v>409</v>
      </c>
      <c r="P4287" s="338" t="s">
        <v>487</v>
      </c>
    </row>
    <row r="4288" spans="2:16" x14ac:dyDescent="0.25">
      <c r="B4288" s="336" t="s">
        <v>416</v>
      </c>
      <c r="C4288" s="337">
        <v>38716</v>
      </c>
      <c r="D4288" s="338" t="s">
        <v>1828</v>
      </c>
      <c r="E4288" s="336" t="s">
        <v>1827</v>
      </c>
      <c r="F4288" s="338"/>
      <c r="G4288" s="338" t="s">
        <v>413</v>
      </c>
      <c r="H4288" s="338" t="s">
        <v>412</v>
      </c>
      <c r="I4288" s="338" t="s">
        <v>411</v>
      </c>
      <c r="J4288" s="339"/>
      <c r="K4288" s="339"/>
      <c r="L4288" s="339" t="s">
        <v>409</v>
      </c>
      <c r="M4288" s="339" t="s">
        <v>409</v>
      </c>
      <c r="N4288" s="338" t="s">
        <v>417</v>
      </c>
      <c r="O4288" s="338" t="s">
        <v>409</v>
      </c>
      <c r="P4288" s="338" t="s">
        <v>487</v>
      </c>
    </row>
    <row r="4289" spans="2:16" x14ac:dyDescent="0.25">
      <c r="B4289" s="336" t="s">
        <v>416</v>
      </c>
      <c r="C4289" s="337">
        <v>38716</v>
      </c>
      <c r="D4289" s="338" t="s">
        <v>1826</v>
      </c>
      <c r="E4289" s="336" t="s">
        <v>831</v>
      </c>
      <c r="F4289" s="338"/>
      <c r="G4289" s="338" t="s">
        <v>413</v>
      </c>
      <c r="H4289" s="338" t="s">
        <v>412</v>
      </c>
      <c r="I4289" s="338" t="s">
        <v>411</v>
      </c>
      <c r="J4289" s="339"/>
      <c r="K4289" s="339"/>
      <c r="L4289" s="339" t="s">
        <v>409</v>
      </c>
      <c r="M4289" s="339" t="s">
        <v>409</v>
      </c>
      <c r="N4289" s="338" t="s">
        <v>417</v>
      </c>
      <c r="O4289" s="338" t="s">
        <v>409</v>
      </c>
      <c r="P4289" s="338" t="s">
        <v>417</v>
      </c>
    </row>
    <row r="4290" spans="2:16" x14ac:dyDescent="0.25">
      <c r="B4290" s="336" t="s">
        <v>416</v>
      </c>
      <c r="C4290" s="337">
        <v>38715</v>
      </c>
      <c r="D4290" s="338" t="s">
        <v>1825</v>
      </c>
      <c r="E4290" s="336" t="s">
        <v>1824</v>
      </c>
      <c r="F4290" s="338"/>
      <c r="G4290" s="338" t="s">
        <v>413</v>
      </c>
      <c r="H4290" s="338" t="s">
        <v>425</v>
      </c>
      <c r="I4290" s="338" t="s">
        <v>411</v>
      </c>
      <c r="J4290" s="339"/>
      <c r="K4290" s="339"/>
      <c r="L4290" s="339" t="s">
        <v>409</v>
      </c>
      <c r="M4290" s="339" t="s">
        <v>409</v>
      </c>
      <c r="N4290" s="338"/>
      <c r="O4290" s="338" t="s">
        <v>409</v>
      </c>
      <c r="P4290" s="338" t="s">
        <v>417</v>
      </c>
    </row>
    <row r="4291" spans="2:16" x14ac:dyDescent="0.25">
      <c r="B4291" s="336" t="s">
        <v>416</v>
      </c>
      <c r="C4291" s="337">
        <v>38714</v>
      </c>
      <c r="D4291" s="338" t="s">
        <v>1823</v>
      </c>
      <c r="E4291" s="336" t="s">
        <v>1822</v>
      </c>
      <c r="F4291" s="338"/>
      <c r="G4291" s="338">
        <v>79.19</v>
      </c>
      <c r="H4291" s="338" t="s">
        <v>336</v>
      </c>
      <c r="I4291" s="338" t="s">
        <v>411</v>
      </c>
      <c r="J4291" s="339"/>
      <c r="K4291" s="339"/>
      <c r="L4291" s="339" t="s">
        <v>409</v>
      </c>
      <c r="M4291" s="339" t="s">
        <v>409</v>
      </c>
      <c r="N4291" s="338" t="s">
        <v>417</v>
      </c>
      <c r="O4291" s="338" t="s">
        <v>409</v>
      </c>
      <c r="P4291" s="338" t="s">
        <v>543</v>
      </c>
    </row>
    <row r="4292" spans="2:16" x14ac:dyDescent="0.25">
      <c r="B4292" s="336" t="s">
        <v>416</v>
      </c>
      <c r="C4292" s="337">
        <v>38714</v>
      </c>
      <c r="D4292" s="338" t="s">
        <v>1821</v>
      </c>
      <c r="E4292" s="336" t="s">
        <v>1820</v>
      </c>
      <c r="F4292" s="338"/>
      <c r="G4292" s="338">
        <v>20.27</v>
      </c>
      <c r="H4292" s="338" t="s">
        <v>429</v>
      </c>
      <c r="I4292" s="338" t="s">
        <v>411</v>
      </c>
      <c r="J4292" s="339"/>
      <c r="K4292" s="339"/>
      <c r="L4292" s="339" t="s">
        <v>409</v>
      </c>
      <c r="M4292" s="339" t="s">
        <v>409</v>
      </c>
      <c r="N4292" s="338"/>
      <c r="O4292" s="338" t="s">
        <v>409</v>
      </c>
      <c r="P4292" s="338" t="s">
        <v>417</v>
      </c>
    </row>
    <row r="4293" spans="2:16" x14ac:dyDescent="0.25">
      <c r="B4293" s="336" t="s">
        <v>416</v>
      </c>
      <c r="C4293" s="337">
        <v>38709</v>
      </c>
      <c r="D4293" s="338" t="s">
        <v>1819</v>
      </c>
      <c r="E4293" s="336" t="s">
        <v>1818</v>
      </c>
      <c r="F4293" s="338" t="s">
        <v>1817</v>
      </c>
      <c r="G4293" s="338">
        <v>750</v>
      </c>
      <c r="H4293" s="338" t="s">
        <v>425</v>
      </c>
      <c r="I4293" s="338" t="s">
        <v>411</v>
      </c>
      <c r="J4293" s="339"/>
      <c r="K4293" s="339"/>
      <c r="L4293" s="339">
        <v>1.0339799999999999</v>
      </c>
      <c r="M4293" s="339">
        <v>5.9829800000000004</v>
      </c>
      <c r="N4293" s="338" t="s">
        <v>417</v>
      </c>
      <c r="O4293" s="338" t="s">
        <v>417</v>
      </c>
      <c r="P4293" s="338" t="s">
        <v>410</v>
      </c>
    </row>
    <row r="4294" spans="2:16" x14ac:dyDescent="0.25">
      <c r="B4294" s="336" t="s">
        <v>416</v>
      </c>
      <c r="C4294" s="337">
        <v>38708</v>
      </c>
      <c r="D4294" s="338" t="s">
        <v>1180</v>
      </c>
      <c r="E4294" s="336" t="s">
        <v>1816</v>
      </c>
      <c r="F4294" s="338" t="s">
        <v>761</v>
      </c>
      <c r="G4294" s="338">
        <v>32.5</v>
      </c>
      <c r="H4294" s="338" t="s">
        <v>425</v>
      </c>
      <c r="I4294" s="338" t="s">
        <v>411</v>
      </c>
      <c r="J4294" s="339"/>
      <c r="K4294" s="339"/>
      <c r="L4294" s="339">
        <v>2.8752</v>
      </c>
      <c r="M4294" s="339">
        <v>15.0625</v>
      </c>
      <c r="N4294" s="338"/>
      <c r="O4294" s="338" t="s">
        <v>417</v>
      </c>
      <c r="P4294" s="338" t="s">
        <v>443</v>
      </c>
    </row>
    <row r="4295" spans="2:16" x14ac:dyDescent="0.25">
      <c r="B4295" s="336" t="s">
        <v>416</v>
      </c>
      <c r="C4295" s="337">
        <v>38708</v>
      </c>
      <c r="D4295" s="338" t="s">
        <v>1815</v>
      </c>
      <c r="E4295" s="336" t="s">
        <v>1814</v>
      </c>
      <c r="F4295" s="338"/>
      <c r="G4295" s="338" t="s">
        <v>413</v>
      </c>
      <c r="H4295" s="338" t="s">
        <v>412</v>
      </c>
      <c r="I4295" s="338" t="s">
        <v>411</v>
      </c>
      <c r="J4295" s="339"/>
      <c r="K4295" s="339"/>
      <c r="L4295" s="339" t="s">
        <v>409</v>
      </c>
      <c r="M4295" s="339" t="s">
        <v>409</v>
      </c>
      <c r="N4295" s="338" t="s">
        <v>417</v>
      </c>
      <c r="O4295" s="338" t="s">
        <v>409</v>
      </c>
      <c r="P4295" s="338" t="s">
        <v>408</v>
      </c>
    </row>
    <row r="4296" spans="2:16" x14ac:dyDescent="0.25">
      <c r="B4296" s="336" t="s">
        <v>416</v>
      </c>
      <c r="C4296" s="337">
        <v>38708</v>
      </c>
      <c r="D4296" s="338" t="s">
        <v>1813</v>
      </c>
      <c r="E4296" s="336" t="s">
        <v>1812</v>
      </c>
      <c r="F4296" s="338"/>
      <c r="G4296" s="338">
        <v>410</v>
      </c>
      <c r="H4296" s="338" t="s">
        <v>425</v>
      </c>
      <c r="I4296" s="338" t="s">
        <v>411</v>
      </c>
      <c r="J4296" s="339"/>
      <c r="K4296" s="339"/>
      <c r="L4296" s="339" t="s">
        <v>409</v>
      </c>
      <c r="M4296" s="339" t="s">
        <v>409</v>
      </c>
      <c r="N4296" s="338" t="s">
        <v>417</v>
      </c>
      <c r="O4296" s="338" t="s">
        <v>409</v>
      </c>
      <c r="P4296" s="338" t="s">
        <v>417</v>
      </c>
    </row>
    <row r="4297" spans="2:16" x14ac:dyDescent="0.25">
      <c r="B4297" s="336" t="s">
        <v>416</v>
      </c>
      <c r="C4297" s="337">
        <v>38707</v>
      </c>
      <c r="D4297" s="338" t="s">
        <v>1811</v>
      </c>
      <c r="E4297" s="336" t="s">
        <v>1810</v>
      </c>
      <c r="F4297" s="338"/>
      <c r="G4297" s="338">
        <v>9.5</v>
      </c>
      <c r="H4297" s="338" t="s">
        <v>425</v>
      </c>
      <c r="I4297" s="338" t="s">
        <v>411</v>
      </c>
      <c r="J4297" s="339"/>
      <c r="K4297" s="339"/>
      <c r="L4297" s="339" t="s">
        <v>409</v>
      </c>
      <c r="M4297" s="339" t="s">
        <v>409</v>
      </c>
      <c r="N4297" s="338" t="s">
        <v>417</v>
      </c>
      <c r="O4297" s="338" t="s">
        <v>409</v>
      </c>
      <c r="P4297" s="338" t="s">
        <v>410</v>
      </c>
    </row>
    <row r="4298" spans="2:16" x14ac:dyDescent="0.25">
      <c r="B4298" s="336" t="s">
        <v>416</v>
      </c>
      <c r="C4298" s="337">
        <v>38707</v>
      </c>
      <c r="D4298" s="338" t="s">
        <v>1809</v>
      </c>
      <c r="E4298" s="336" t="s">
        <v>1808</v>
      </c>
      <c r="F4298" s="338"/>
      <c r="G4298" s="338" t="s">
        <v>413</v>
      </c>
      <c r="H4298" s="338" t="s">
        <v>425</v>
      </c>
      <c r="I4298" s="338" t="s">
        <v>411</v>
      </c>
      <c r="J4298" s="339"/>
      <c r="K4298" s="339"/>
      <c r="L4298" s="339" t="s">
        <v>409</v>
      </c>
      <c r="M4298" s="339" t="s">
        <v>409</v>
      </c>
      <c r="N4298" s="338"/>
      <c r="O4298" s="338" t="s">
        <v>409</v>
      </c>
      <c r="P4298" s="338" t="s">
        <v>417</v>
      </c>
    </row>
    <row r="4299" spans="2:16" x14ac:dyDescent="0.25">
      <c r="B4299" s="336" t="s">
        <v>416</v>
      </c>
      <c r="C4299" s="337">
        <v>38707</v>
      </c>
      <c r="D4299" s="338" t="s">
        <v>956</v>
      </c>
      <c r="E4299" s="336" t="s">
        <v>980</v>
      </c>
      <c r="F4299" s="338" t="s">
        <v>1807</v>
      </c>
      <c r="G4299" s="338" t="s">
        <v>413</v>
      </c>
      <c r="H4299" s="338" t="s">
        <v>425</v>
      </c>
      <c r="I4299" s="338" t="s">
        <v>411</v>
      </c>
      <c r="J4299" s="339"/>
      <c r="K4299" s="339"/>
      <c r="L4299" s="339"/>
      <c r="M4299" s="339"/>
      <c r="N4299" s="338"/>
      <c r="O4299" s="338" t="s">
        <v>417</v>
      </c>
      <c r="P4299" s="338" t="s">
        <v>417</v>
      </c>
    </row>
    <row r="4300" spans="2:16" x14ac:dyDescent="0.25">
      <c r="B4300" s="336" t="s">
        <v>459</v>
      </c>
      <c r="C4300" s="337">
        <v>38706</v>
      </c>
      <c r="D4300" s="338" t="s">
        <v>1806</v>
      </c>
      <c r="E4300" s="336" t="s">
        <v>1420</v>
      </c>
      <c r="F4300" s="338"/>
      <c r="G4300" s="338" t="s">
        <v>413</v>
      </c>
      <c r="H4300" s="338" t="s">
        <v>425</v>
      </c>
      <c r="I4300" s="338" t="s">
        <v>411</v>
      </c>
      <c r="J4300" s="339"/>
      <c r="K4300" s="339"/>
      <c r="L4300" s="339" t="s">
        <v>409</v>
      </c>
      <c r="M4300" s="339" t="s">
        <v>409</v>
      </c>
      <c r="N4300" s="338" t="s">
        <v>417</v>
      </c>
      <c r="O4300" s="338" t="s">
        <v>409</v>
      </c>
      <c r="P4300" s="338" t="s">
        <v>443</v>
      </c>
    </row>
    <row r="4301" spans="2:16" x14ac:dyDescent="0.25">
      <c r="B4301" s="336" t="s">
        <v>416</v>
      </c>
      <c r="C4301" s="337">
        <v>38705</v>
      </c>
      <c r="D4301" s="338" t="s">
        <v>945</v>
      </c>
      <c r="E4301" s="336" t="s">
        <v>1642</v>
      </c>
      <c r="F4301" s="338" t="s">
        <v>650</v>
      </c>
      <c r="G4301" s="338">
        <v>70</v>
      </c>
      <c r="H4301" s="338" t="s">
        <v>425</v>
      </c>
      <c r="I4301" s="338" t="s">
        <v>411</v>
      </c>
      <c r="J4301" s="339"/>
      <c r="K4301" s="339"/>
      <c r="L4301" s="339">
        <v>6.4971299999999996E-2</v>
      </c>
      <c r="M4301" s="339"/>
      <c r="N4301" s="338"/>
      <c r="O4301" s="338" t="s">
        <v>417</v>
      </c>
      <c r="P4301" s="338" t="s">
        <v>443</v>
      </c>
    </row>
    <row r="4302" spans="2:16" x14ac:dyDescent="0.25">
      <c r="B4302" s="336" t="s">
        <v>416</v>
      </c>
      <c r="C4302" s="337">
        <v>38702</v>
      </c>
      <c r="D4302" s="338" t="s">
        <v>1805</v>
      </c>
      <c r="E4302" s="336" t="s">
        <v>1804</v>
      </c>
      <c r="F4302" s="338"/>
      <c r="G4302" s="338" t="s">
        <v>413</v>
      </c>
      <c r="H4302" s="338" t="s">
        <v>412</v>
      </c>
      <c r="I4302" s="338" t="s">
        <v>411</v>
      </c>
      <c r="J4302" s="339"/>
      <c r="K4302" s="339"/>
      <c r="L4302" s="339" t="s">
        <v>409</v>
      </c>
      <c r="M4302" s="339" t="s">
        <v>409</v>
      </c>
      <c r="N4302" s="338" t="s">
        <v>487</v>
      </c>
      <c r="O4302" s="338" t="s">
        <v>409</v>
      </c>
      <c r="P4302" s="338" t="s">
        <v>487</v>
      </c>
    </row>
    <row r="4303" spans="2:16" x14ac:dyDescent="0.25">
      <c r="B4303" s="336" t="s">
        <v>542</v>
      </c>
      <c r="C4303" s="337">
        <v>38701</v>
      </c>
      <c r="D4303" s="338" t="s">
        <v>616</v>
      </c>
      <c r="E4303" s="336" t="s">
        <v>539</v>
      </c>
      <c r="F4303" s="338"/>
      <c r="G4303" s="338">
        <v>15.43</v>
      </c>
      <c r="H4303" s="338"/>
      <c r="I4303" s="338" t="s">
        <v>411</v>
      </c>
      <c r="J4303" s="339">
        <v>0.41759600000000002</v>
      </c>
      <c r="K4303" s="339">
        <v>6.9364100000000004</v>
      </c>
      <c r="L4303" s="339" t="s">
        <v>409</v>
      </c>
      <c r="M4303" s="339" t="s">
        <v>409</v>
      </c>
      <c r="N4303" s="338" t="s">
        <v>417</v>
      </c>
      <c r="O4303" s="338" t="s">
        <v>409</v>
      </c>
      <c r="P4303" s="338" t="s">
        <v>417</v>
      </c>
    </row>
    <row r="4304" spans="2:16" x14ac:dyDescent="0.25">
      <c r="B4304" s="336" t="s">
        <v>542</v>
      </c>
      <c r="C4304" s="337">
        <v>38701</v>
      </c>
      <c r="D4304" s="338" t="s">
        <v>616</v>
      </c>
      <c r="E4304" s="336" t="s">
        <v>539</v>
      </c>
      <c r="F4304" s="338"/>
      <c r="G4304" s="338">
        <v>19.22</v>
      </c>
      <c r="H4304" s="338"/>
      <c r="I4304" s="338" t="s">
        <v>411</v>
      </c>
      <c r="J4304" s="339">
        <v>0.41759600000000002</v>
      </c>
      <c r="K4304" s="339">
        <v>6.9364100000000004</v>
      </c>
      <c r="L4304" s="339" t="s">
        <v>409</v>
      </c>
      <c r="M4304" s="339" t="s">
        <v>409</v>
      </c>
      <c r="N4304" s="338" t="s">
        <v>417</v>
      </c>
      <c r="O4304" s="338" t="s">
        <v>409</v>
      </c>
      <c r="P4304" s="338" t="s">
        <v>417</v>
      </c>
    </row>
    <row r="4305" spans="2:16" x14ac:dyDescent="0.25">
      <c r="B4305" s="336" t="s">
        <v>416</v>
      </c>
      <c r="C4305" s="337">
        <v>38700</v>
      </c>
      <c r="D4305" s="338" t="s">
        <v>1803</v>
      </c>
      <c r="E4305" s="336" t="s">
        <v>1802</v>
      </c>
      <c r="F4305" s="338" t="s">
        <v>1801</v>
      </c>
      <c r="G4305" s="338" t="s">
        <v>413</v>
      </c>
      <c r="H4305" s="338" t="s">
        <v>425</v>
      </c>
      <c r="I4305" s="338" t="s">
        <v>411</v>
      </c>
      <c r="J4305" s="339"/>
      <c r="K4305" s="339"/>
      <c r="L4305" s="339"/>
      <c r="M4305" s="339"/>
      <c r="N4305" s="338"/>
      <c r="O4305" s="338" t="s">
        <v>417</v>
      </c>
      <c r="P4305" s="338" t="s">
        <v>432</v>
      </c>
    </row>
    <row r="4306" spans="2:16" x14ac:dyDescent="0.25">
      <c r="B4306" s="336" t="s">
        <v>416</v>
      </c>
      <c r="C4306" s="337">
        <v>38700</v>
      </c>
      <c r="D4306" s="338" t="s">
        <v>1800</v>
      </c>
      <c r="E4306" s="336" t="s">
        <v>566</v>
      </c>
      <c r="F4306" s="338"/>
      <c r="G4306" s="338">
        <v>485</v>
      </c>
      <c r="H4306" s="338" t="s">
        <v>425</v>
      </c>
      <c r="I4306" s="338" t="s">
        <v>411</v>
      </c>
      <c r="J4306" s="339"/>
      <c r="K4306" s="339"/>
      <c r="L4306" s="339" t="s">
        <v>409</v>
      </c>
      <c r="M4306" s="339" t="s">
        <v>409</v>
      </c>
      <c r="N4306" s="338" t="s">
        <v>432</v>
      </c>
      <c r="O4306" s="338" t="s">
        <v>409</v>
      </c>
      <c r="P4306" s="338" t="s">
        <v>410</v>
      </c>
    </row>
    <row r="4307" spans="2:16" x14ac:dyDescent="0.25">
      <c r="B4307" s="336" t="s">
        <v>416</v>
      </c>
      <c r="C4307" s="337">
        <v>38699</v>
      </c>
      <c r="D4307" s="338" t="s">
        <v>1799</v>
      </c>
      <c r="E4307" s="336" t="s">
        <v>1798</v>
      </c>
      <c r="F4307" s="338" t="s">
        <v>1797</v>
      </c>
      <c r="G4307" s="338" t="s">
        <v>413</v>
      </c>
      <c r="H4307" s="338" t="s">
        <v>425</v>
      </c>
      <c r="I4307" s="338" t="s">
        <v>411</v>
      </c>
      <c r="J4307" s="339"/>
      <c r="K4307" s="339"/>
      <c r="L4307" s="339"/>
      <c r="M4307" s="339"/>
      <c r="N4307" s="338"/>
      <c r="O4307" s="338" t="s">
        <v>417</v>
      </c>
      <c r="P4307" s="338" t="s">
        <v>482</v>
      </c>
    </row>
    <row r="4308" spans="2:16" x14ac:dyDescent="0.25">
      <c r="B4308" s="336" t="s">
        <v>416</v>
      </c>
      <c r="C4308" s="337">
        <v>38698</v>
      </c>
      <c r="D4308" s="338" t="s">
        <v>1796</v>
      </c>
      <c r="E4308" s="336" t="s">
        <v>1795</v>
      </c>
      <c r="F4308" s="338"/>
      <c r="G4308" s="338">
        <v>6.34</v>
      </c>
      <c r="H4308" s="338" t="s">
        <v>425</v>
      </c>
      <c r="I4308" s="338" t="s">
        <v>411</v>
      </c>
      <c r="J4308" s="339"/>
      <c r="K4308" s="339"/>
      <c r="L4308" s="339" t="s">
        <v>409</v>
      </c>
      <c r="M4308" s="339" t="s">
        <v>409</v>
      </c>
      <c r="N4308" s="338" t="s">
        <v>417</v>
      </c>
      <c r="O4308" s="338" t="s">
        <v>409</v>
      </c>
      <c r="P4308" s="338" t="s">
        <v>417</v>
      </c>
    </row>
    <row r="4309" spans="2:16" x14ac:dyDescent="0.25">
      <c r="B4309" s="336" t="s">
        <v>416</v>
      </c>
      <c r="C4309" s="337">
        <v>38698</v>
      </c>
      <c r="D4309" s="338" t="s">
        <v>1794</v>
      </c>
      <c r="E4309" s="336" t="s">
        <v>1793</v>
      </c>
      <c r="F4309" s="338" t="s">
        <v>1792</v>
      </c>
      <c r="G4309" s="338">
        <v>2425</v>
      </c>
      <c r="H4309" s="338" t="s">
        <v>425</v>
      </c>
      <c r="I4309" s="338" t="s">
        <v>411</v>
      </c>
      <c r="J4309" s="339"/>
      <c r="K4309" s="339"/>
      <c r="L4309" s="339">
        <v>3.7343500000000001</v>
      </c>
      <c r="M4309" s="339">
        <v>13.226000000000001</v>
      </c>
      <c r="N4309" s="338" t="s">
        <v>417</v>
      </c>
      <c r="O4309" s="338" t="s">
        <v>410</v>
      </c>
      <c r="P4309" s="338"/>
    </row>
    <row r="4310" spans="2:16" x14ac:dyDescent="0.25">
      <c r="B4310" s="336" t="s">
        <v>416</v>
      </c>
      <c r="C4310" s="337">
        <v>38698</v>
      </c>
      <c r="D4310" s="338" t="s">
        <v>1791</v>
      </c>
      <c r="E4310" s="336" t="s">
        <v>1790</v>
      </c>
      <c r="F4310" s="338"/>
      <c r="G4310" s="338" t="s">
        <v>413</v>
      </c>
      <c r="H4310" s="338" t="s">
        <v>412</v>
      </c>
      <c r="I4310" s="338" t="s">
        <v>411</v>
      </c>
      <c r="J4310" s="339"/>
      <c r="K4310" s="339"/>
      <c r="L4310" s="339" t="s">
        <v>409</v>
      </c>
      <c r="M4310" s="339" t="s">
        <v>409</v>
      </c>
      <c r="N4310" s="338"/>
      <c r="O4310" s="338" t="s">
        <v>409</v>
      </c>
      <c r="P4310" s="338" t="s">
        <v>443</v>
      </c>
    </row>
    <row r="4311" spans="2:16" x14ac:dyDescent="0.25">
      <c r="B4311" s="336" t="s">
        <v>416</v>
      </c>
      <c r="C4311" s="337">
        <v>38698</v>
      </c>
      <c r="D4311" s="338" t="s">
        <v>694</v>
      </c>
      <c r="E4311" s="336" t="s">
        <v>1789</v>
      </c>
      <c r="F4311" s="338"/>
      <c r="G4311" s="338">
        <v>163.28</v>
      </c>
      <c r="H4311" s="338" t="s">
        <v>425</v>
      </c>
      <c r="I4311" s="338" t="s">
        <v>411</v>
      </c>
      <c r="J4311" s="339">
        <v>0.73993799999999998</v>
      </c>
      <c r="K4311" s="339">
        <v>5.3833599999999997</v>
      </c>
      <c r="L4311" s="339" t="s">
        <v>409</v>
      </c>
      <c r="M4311" s="339" t="s">
        <v>409</v>
      </c>
      <c r="N4311" s="338" t="s">
        <v>417</v>
      </c>
      <c r="O4311" s="338" t="s">
        <v>409</v>
      </c>
      <c r="P4311" s="338"/>
    </row>
    <row r="4312" spans="2:16" x14ac:dyDescent="0.25">
      <c r="B4312" s="336" t="s">
        <v>416</v>
      </c>
      <c r="C4312" s="337">
        <v>38698</v>
      </c>
      <c r="D4312" s="338" t="s">
        <v>1788</v>
      </c>
      <c r="E4312" s="336" t="s">
        <v>1787</v>
      </c>
      <c r="F4312" s="338" t="s">
        <v>1786</v>
      </c>
      <c r="G4312" s="338">
        <v>1.42</v>
      </c>
      <c r="H4312" s="338" t="s">
        <v>425</v>
      </c>
      <c r="I4312" s="338" t="s">
        <v>411</v>
      </c>
      <c r="J4312" s="339"/>
      <c r="K4312" s="339"/>
      <c r="L4312" s="339"/>
      <c r="M4312" s="339"/>
      <c r="N4312" s="338"/>
      <c r="O4312" s="338" t="s">
        <v>1785</v>
      </c>
      <c r="P4312" s="338" t="s">
        <v>443</v>
      </c>
    </row>
    <row r="4313" spans="2:16" x14ac:dyDescent="0.25">
      <c r="B4313" s="336" t="s">
        <v>416</v>
      </c>
      <c r="C4313" s="337">
        <v>38697</v>
      </c>
      <c r="D4313" s="338" t="s">
        <v>641</v>
      </c>
      <c r="E4313" s="336" t="s">
        <v>1644</v>
      </c>
      <c r="F4313" s="338"/>
      <c r="G4313" s="338">
        <v>1600</v>
      </c>
      <c r="H4313" s="338" t="s">
        <v>425</v>
      </c>
      <c r="I4313" s="338" t="s">
        <v>411</v>
      </c>
      <c r="J4313" s="339"/>
      <c r="K4313" s="339"/>
      <c r="L4313" s="339" t="s">
        <v>409</v>
      </c>
      <c r="M4313" s="339" t="s">
        <v>409</v>
      </c>
      <c r="N4313" s="338" t="s">
        <v>417</v>
      </c>
      <c r="O4313" s="338" t="s">
        <v>409</v>
      </c>
      <c r="P4313" s="338" t="s">
        <v>432</v>
      </c>
    </row>
    <row r="4314" spans="2:16" x14ac:dyDescent="0.25">
      <c r="B4314" s="336" t="s">
        <v>416</v>
      </c>
      <c r="C4314" s="337">
        <v>38695</v>
      </c>
      <c r="D4314" s="338" t="s">
        <v>956</v>
      </c>
      <c r="E4314" s="336" t="s">
        <v>825</v>
      </c>
      <c r="F4314" s="338" t="s">
        <v>1784</v>
      </c>
      <c r="G4314" s="338">
        <v>7.6</v>
      </c>
      <c r="H4314" s="338" t="s">
        <v>425</v>
      </c>
      <c r="I4314" s="338" t="s">
        <v>411</v>
      </c>
      <c r="J4314" s="339"/>
      <c r="K4314" s="339"/>
      <c r="L4314" s="339"/>
      <c r="M4314" s="339"/>
      <c r="N4314" s="338"/>
      <c r="O4314" s="338" t="s">
        <v>410</v>
      </c>
      <c r="P4314" s="338" t="s">
        <v>417</v>
      </c>
    </row>
    <row r="4315" spans="2:16" x14ac:dyDescent="0.25">
      <c r="B4315" s="336" t="s">
        <v>459</v>
      </c>
      <c r="C4315" s="337">
        <v>38695</v>
      </c>
      <c r="D4315" s="338" t="s">
        <v>1783</v>
      </c>
      <c r="E4315" s="336" t="s">
        <v>1782</v>
      </c>
      <c r="F4315" s="338"/>
      <c r="G4315" s="338">
        <v>93</v>
      </c>
      <c r="H4315" s="338" t="s">
        <v>425</v>
      </c>
      <c r="I4315" s="338" t="s">
        <v>411</v>
      </c>
      <c r="J4315" s="339">
        <v>4.6391999999999998</v>
      </c>
      <c r="K4315" s="339">
        <v>16.456900000000001</v>
      </c>
      <c r="L4315" s="339" t="s">
        <v>409</v>
      </c>
      <c r="M4315" s="339" t="s">
        <v>409</v>
      </c>
      <c r="N4315" s="338" t="s">
        <v>417</v>
      </c>
      <c r="O4315" s="338" t="s">
        <v>409</v>
      </c>
      <c r="P4315" s="338"/>
    </row>
    <row r="4316" spans="2:16" x14ac:dyDescent="0.25">
      <c r="B4316" s="336" t="s">
        <v>416</v>
      </c>
      <c r="C4316" s="337">
        <v>38695</v>
      </c>
      <c r="D4316" s="338" t="s">
        <v>1781</v>
      </c>
      <c r="E4316" s="336" t="s">
        <v>1780</v>
      </c>
      <c r="F4316" s="338"/>
      <c r="G4316" s="338" t="s">
        <v>413</v>
      </c>
      <c r="H4316" s="338" t="s">
        <v>336</v>
      </c>
      <c r="I4316" s="338" t="s">
        <v>411</v>
      </c>
      <c r="J4316" s="339"/>
      <c r="K4316" s="339"/>
      <c r="L4316" s="339" t="s">
        <v>409</v>
      </c>
      <c r="M4316" s="339" t="s">
        <v>409</v>
      </c>
      <c r="N4316" s="338" t="s">
        <v>417</v>
      </c>
      <c r="O4316" s="338" t="s">
        <v>409</v>
      </c>
      <c r="P4316" s="338" t="s">
        <v>432</v>
      </c>
    </row>
    <row r="4317" spans="2:16" x14ac:dyDescent="0.25">
      <c r="B4317" s="336" t="s">
        <v>416</v>
      </c>
      <c r="C4317" s="337">
        <v>38694</v>
      </c>
      <c r="D4317" s="338" t="s">
        <v>1779</v>
      </c>
      <c r="E4317" s="336" t="s">
        <v>1778</v>
      </c>
      <c r="F4317" s="338" t="s">
        <v>1777</v>
      </c>
      <c r="G4317" s="338" t="s">
        <v>413</v>
      </c>
      <c r="H4317" s="338" t="s">
        <v>425</v>
      </c>
      <c r="I4317" s="338" t="s">
        <v>411</v>
      </c>
      <c r="J4317" s="339"/>
      <c r="K4317" s="339"/>
      <c r="L4317" s="339"/>
      <c r="M4317" s="339"/>
      <c r="N4317" s="338" t="s">
        <v>432</v>
      </c>
      <c r="O4317" s="338" t="s">
        <v>417</v>
      </c>
      <c r="P4317" s="338" t="s">
        <v>443</v>
      </c>
    </row>
    <row r="4318" spans="2:16" x14ac:dyDescent="0.25">
      <c r="B4318" s="336" t="s">
        <v>416</v>
      </c>
      <c r="C4318" s="337">
        <v>38694</v>
      </c>
      <c r="D4318" s="338" t="s">
        <v>1776</v>
      </c>
      <c r="E4318" s="336" t="s">
        <v>1591</v>
      </c>
      <c r="F4318" s="338"/>
      <c r="G4318" s="338">
        <v>333.44</v>
      </c>
      <c r="H4318" s="338" t="s">
        <v>425</v>
      </c>
      <c r="I4318" s="338" t="s">
        <v>411</v>
      </c>
      <c r="J4318" s="339"/>
      <c r="K4318" s="339"/>
      <c r="L4318" s="339" t="s">
        <v>409</v>
      </c>
      <c r="M4318" s="339" t="s">
        <v>409</v>
      </c>
      <c r="N4318" s="338" t="s">
        <v>417</v>
      </c>
      <c r="O4318" s="338" t="s">
        <v>409</v>
      </c>
      <c r="P4318" s="338" t="s">
        <v>443</v>
      </c>
    </row>
    <row r="4319" spans="2:16" x14ac:dyDescent="0.25">
      <c r="B4319" s="336" t="s">
        <v>416</v>
      </c>
      <c r="C4319" s="337">
        <v>38694</v>
      </c>
      <c r="D4319" s="338" t="s">
        <v>1775</v>
      </c>
      <c r="E4319" s="336" t="s">
        <v>983</v>
      </c>
      <c r="F4319" s="338" t="s">
        <v>1774</v>
      </c>
      <c r="G4319" s="338" t="s">
        <v>413</v>
      </c>
      <c r="H4319" s="338" t="s">
        <v>425</v>
      </c>
      <c r="I4319" s="338" t="s">
        <v>411</v>
      </c>
      <c r="J4319" s="339"/>
      <c r="K4319" s="339"/>
      <c r="L4319" s="339"/>
      <c r="M4319" s="339"/>
      <c r="N4319" s="338"/>
      <c r="O4319" s="338" t="s">
        <v>417</v>
      </c>
      <c r="P4319" s="338" t="s">
        <v>417</v>
      </c>
    </row>
    <row r="4320" spans="2:16" x14ac:dyDescent="0.25">
      <c r="B4320" s="336" t="s">
        <v>416</v>
      </c>
      <c r="C4320" s="337">
        <v>38694</v>
      </c>
      <c r="D4320" s="338" t="s">
        <v>1773</v>
      </c>
      <c r="E4320" s="336" t="s">
        <v>1772</v>
      </c>
      <c r="F4320" s="338"/>
      <c r="G4320" s="338" t="s">
        <v>413</v>
      </c>
      <c r="H4320" s="338" t="s">
        <v>412</v>
      </c>
      <c r="I4320" s="338" t="s">
        <v>411</v>
      </c>
      <c r="J4320" s="339"/>
      <c r="K4320" s="339"/>
      <c r="L4320" s="339" t="s">
        <v>409</v>
      </c>
      <c r="M4320" s="339" t="s">
        <v>409</v>
      </c>
      <c r="N4320" s="338" t="s">
        <v>417</v>
      </c>
      <c r="O4320" s="338" t="s">
        <v>409</v>
      </c>
      <c r="P4320" s="338" t="s">
        <v>417</v>
      </c>
    </row>
    <row r="4321" spans="2:16" x14ac:dyDescent="0.25">
      <c r="B4321" s="336" t="s">
        <v>416</v>
      </c>
      <c r="C4321" s="337">
        <v>38694</v>
      </c>
      <c r="D4321" s="338" t="s">
        <v>1771</v>
      </c>
      <c r="E4321" s="336" t="s">
        <v>1283</v>
      </c>
      <c r="F4321" s="338" t="s">
        <v>1770</v>
      </c>
      <c r="G4321" s="338" t="s">
        <v>413</v>
      </c>
      <c r="H4321" s="338" t="s">
        <v>425</v>
      </c>
      <c r="I4321" s="338" t="s">
        <v>411</v>
      </c>
      <c r="J4321" s="339"/>
      <c r="K4321" s="339"/>
      <c r="L4321" s="339">
        <v>0.361375</v>
      </c>
      <c r="M4321" s="339">
        <v>20.311599999999999</v>
      </c>
      <c r="N4321" s="338"/>
      <c r="O4321" s="338" t="s">
        <v>605</v>
      </c>
      <c r="P4321" s="338" t="s">
        <v>432</v>
      </c>
    </row>
    <row r="4322" spans="2:16" x14ac:dyDescent="0.25">
      <c r="B4322" s="336" t="s">
        <v>416</v>
      </c>
      <c r="C4322" s="337">
        <v>38694</v>
      </c>
      <c r="D4322" s="338" t="s">
        <v>1769</v>
      </c>
      <c r="E4322" s="336" t="s">
        <v>1768</v>
      </c>
      <c r="F4322" s="338" t="s">
        <v>1767</v>
      </c>
      <c r="G4322" s="338" t="s">
        <v>413</v>
      </c>
      <c r="H4322" s="338" t="s">
        <v>412</v>
      </c>
      <c r="I4322" s="338" t="s">
        <v>411</v>
      </c>
      <c r="J4322" s="339"/>
      <c r="K4322" s="339"/>
      <c r="L4322" s="339">
        <v>9.3146699999999999E-2</v>
      </c>
      <c r="M4322" s="339">
        <v>10.611800000000001</v>
      </c>
      <c r="N4322" s="338" t="s">
        <v>417</v>
      </c>
      <c r="O4322" s="338" t="s">
        <v>417</v>
      </c>
      <c r="P4322" s="338" t="s">
        <v>417</v>
      </c>
    </row>
    <row r="4323" spans="2:16" x14ac:dyDescent="0.25">
      <c r="B4323" s="336" t="s">
        <v>416</v>
      </c>
      <c r="C4323" s="337">
        <v>38693</v>
      </c>
      <c r="D4323" s="338" t="s">
        <v>1766</v>
      </c>
      <c r="E4323" s="336" t="s">
        <v>598</v>
      </c>
      <c r="F4323" s="338"/>
      <c r="G4323" s="338" t="s">
        <v>413</v>
      </c>
      <c r="H4323" s="338" t="s">
        <v>412</v>
      </c>
      <c r="I4323" s="338" t="s">
        <v>411</v>
      </c>
      <c r="J4323" s="339"/>
      <c r="K4323" s="339"/>
      <c r="L4323" s="339" t="s">
        <v>409</v>
      </c>
      <c r="M4323" s="339" t="s">
        <v>409</v>
      </c>
      <c r="N4323" s="338" t="s">
        <v>417</v>
      </c>
      <c r="O4323" s="338" t="s">
        <v>409</v>
      </c>
      <c r="P4323" s="338" t="s">
        <v>417</v>
      </c>
    </row>
    <row r="4324" spans="2:16" x14ac:dyDescent="0.25">
      <c r="B4324" s="336" t="s">
        <v>416</v>
      </c>
      <c r="C4324" s="337">
        <v>38693</v>
      </c>
      <c r="D4324" s="338" t="s">
        <v>1765</v>
      </c>
      <c r="E4324" s="336" t="s">
        <v>1764</v>
      </c>
      <c r="F4324" s="338" t="s">
        <v>1763</v>
      </c>
      <c r="G4324" s="338" t="s">
        <v>413</v>
      </c>
      <c r="H4324" s="338" t="s">
        <v>425</v>
      </c>
      <c r="I4324" s="338" t="s">
        <v>411</v>
      </c>
      <c r="J4324" s="339"/>
      <c r="K4324" s="339"/>
      <c r="L4324" s="339"/>
      <c r="M4324" s="339"/>
      <c r="N4324" s="338"/>
      <c r="O4324" s="338" t="s">
        <v>885</v>
      </c>
      <c r="P4324" s="338" t="s">
        <v>443</v>
      </c>
    </row>
    <row r="4325" spans="2:16" x14ac:dyDescent="0.25">
      <c r="B4325" s="336" t="s">
        <v>416</v>
      </c>
      <c r="C4325" s="337">
        <v>38692</v>
      </c>
      <c r="D4325" s="338" t="s">
        <v>1762</v>
      </c>
      <c r="E4325" s="336" t="s">
        <v>430</v>
      </c>
      <c r="F4325" s="338"/>
      <c r="G4325" s="338" t="s">
        <v>413</v>
      </c>
      <c r="H4325" s="338" t="s">
        <v>412</v>
      </c>
      <c r="I4325" s="338" t="s">
        <v>411</v>
      </c>
      <c r="J4325" s="339"/>
      <c r="K4325" s="339"/>
      <c r="L4325" s="339" t="s">
        <v>409</v>
      </c>
      <c r="M4325" s="339" t="s">
        <v>409</v>
      </c>
      <c r="N4325" s="338"/>
      <c r="O4325" s="338" t="s">
        <v>409</v>
      </c>
      <c r="P4325" s="338" t="s">
        <v>408</v>
      </c>
    </row>
    <row r="4326" spans="2:16" x14ac:dyDescent="0.25">
      <c r="B4326" s="336" t="s">
        <v>416</v>
      </c>
      <c r="C4326" s="337">
        <v>38691</v>
      </c>
      <c r="D4326" s="338" t="s">
        <v>1761</v>
      </c>
      <c r="E4326" s="336" t="s">
        <v>1527</v>
      </c>
      <c r="F4326" s="338"/>
      <c r="G4326" s="338" t="s">
        <v>413</v>
      </c>
      <c r="H4326" s="338" t="s">
        <v>412</v>
      </c>
      <c r="I4326" s="338" t="s">
        <v>411</v>
      </c>
      <c r="J4326" s="339"/>
      <c r="K4326" s="339"/>
      <c r="L4326" s="339" t="s">
        <v>409</v>
      </c>
      <c r="M4326" s="339" t="s">
        <v>409</v>
      </c>
      <c r="N4326" s="338" t="s">
        <v>417</v>
      </c>
      <c r="O4326" s="338" t="s">
        <v>409</v>
      </c>
      <c r="P4326" s="338" t="s">
        <v>417</v>
      </c>
    </row>
    <row r="4327" spans="2:16" x14ac:dyDescent="0.25">
      <c r="B4327" s="336" t="s">
        <v>416</v>
      </c>
      <c r="C4327" s="337">
        <v>38691</v>
      </c>
      <c r="D4327" s="338" t="s">
        <v>1760</v>
      </c>
      <c r="E4327" s="336" t="s">
        <v>1759</v>
      </c>
      <c r="F4327" s="338"/>
      <c r="G4327" s="338" t="s">
        <v>413</v>
      </c>
      <c r="H4327" s="338" t="s">
        <v>425</v>
      </c>
      <c r="I4327" s="338" t="s">
        <v>411</v>
      </c>
      <c r="J4327" s="339"/>
      <c r="K4327" s="339"/>
      <c r="L4327" s="339" t="s">
        <v>409</v>
      </c>
      <c r="M4327" s="339" t="s">
        <v>409</v>
      </c>
      <c r="N4327" s="338"/>
      <c r="O4327" s="338" t="s">
        <v>409</v>
      </c>
      <c r="P4327" s="338" t="s">
        <v>417</v>
      </c>
    </row>
    <row r="4328" spans="2:16" x14ac:dyDescent="0.25">
      <c r="B4328" s="336" t="s">
        <v>416</v>
      </c>
      <c r="C4328" s="337">
        <v>38691</v>
      </c>
      <c r="D4328" s="338" t="s">
        <v>843</v>
      </c>
      <c r="E4328" s="336" t="s">
        <v>672</v>
      </c>
      <c r="F4328" s="338"/>
      <c r="G4328" s="338">
        <v>274.18</v>
      </c>
      <c r="H4328" s="338" t="s">
        <v>425</v>
      </c>
      <c r="I4328" s="338" t="s">
        <v>411</v>
      </c>
      <c r="J4328" s="339">
        <v>0.30612499999999998</v>
      </c>
      <c r="K4328" s="339">
        <v>49.310099999999998</v>
      </c>
      <c r="L4328" s="339" t="s">
        <v>409</v>
      </c>
      <c r="M4328" s="339" t="s">
        <v>409</v>
      </c>
      <c r="N4328" s="338" t="s">
        <v>417</v>
      </c>
      <c r="O4328" s="338" t="s">
        <v>409</v>
      </c>
      <c r="P4328" s="338" t="s">
        <v>417</v>
      </c>
    </row>
    <row r="4329" spans="2:16" x14ac:dyDescent="0.25">
      <c r="B4329" s="336" t="s">
        <v>416</v>
      </c>
      <c r="C4329" s="337">
        <v>38691</v>
      </c>
      <c r="D4329" s="338" t="s">
        <v>1758</v>
      </c>
      <c r="E4329" s="336" t="s">
        <v>468</v>
      </c>
      <c r="F4329" s="338"/>
      <c r="G4329" s="338" t="s">
        <v>413</v>
      </c>
      <c r="H4329" s="338" t="s">
        <v>425</v>
      </c>
      <c r="I4329" s="338" t="s">
        <v>411</v>
      </c>
      <c r="J4329" s="339"/>
      <c r="K4329" s="339"/>
      <c r="L4329" s="339" t="s">
        <v>409</v>
      </c>
      <c r="M4329" s="339" t="s">
        <v>409</v>
      </c>
      <c r="N4329" s="338" t="s">
        <v>417</v>
      </c>
      <c r="O4329" s="338" t="s">
        <v>409</v>
      </c>
      <c r="P4329" s="338" t="s">
        <v>443</v>
      </c>
    </row>
    <row r="4330" spans="2:16" x14ac:dyDescent="0.25">
      <c r="B4330" s="336" t="s">
        <v>416</v>
      </c>
      <c r="C4330" s="337">
        <v>38691</v>
      </c>
      <c r="D4330" s="338" t="s">
        <v>1757</v>
      </c>
      <c r="E4330" s="336" t="s">
        <v>1756</v>
      </c>
      <c r="F4330" s="338"/>
      <c r="G4330" s="338" t="s">
        <v>413</v>
      </c>
      <c r="H4330" s="338" t="s">
        <v>425</v>
      </c>
      <c r="I4330" s="338" t="s">
        <v>411</v>
      </c>
      <c r="J4330" s="339"/>
      <c r="K4330" s="339"/>
      <c r="L4330" s="339" t="s">
        <v>409</v>
      </c>
      <c r="M4330" s="339" t="s">
        <v>409</v>
      </c>
      <c r="N4330" s="338" t="s">
        <v>417</v>
      </c>
      <c r="O4330" s="338" t="s">
        <v>409</v>
      </c>
      <c r="P4330" s="338" t="s">
        <v>410</v>
      </c>
    </row>
    <row r="4331" spans="2:16" x14ac:dyDescent="0.25">
      <c r="B4331" s="336" t="s">
        <v>416</v>
      </c>
      <c r="C4331" s="337">
        <v>38687</v>
      </c>
      <c r="D4331" s="338" t="s">
        <v>1755</v>
      </c>
      <c r="E4331" s="336" t="s">
        <v>1754</v>
      </c>
      <c r="F4331" s="338"/>
      <c r="G4331" s="338">
        <v>32.08</v>
      </c>
      <c r="H4331" s="338" t="s">
        <v>429</v>
      </c>
      <c r="I4331" s="338" t="s">
        <v>411</v>
      </c>
      <c r="J4331" s="339"/>
      <c r="K4331" s="339"/>
      <c r="L4331" s="339" t="s">
        <v>409</v>
      </c>
      <c r="M4331" s="339" t="s">
        <v>409</v>
      </c>
      <c r="N4331" s="338" t="s">
        <v>417</v>
      </c>
      <c r="O4331" s="338" t="s">
        <v>409</v>
      </c>
      <c r="P4331" s="338" t="s">
        <v>417</v>
      </c>
    </row>
    <row r="4332" spans="2:16" x14ac:dyDescent="0.25">
      <c r="B4332" s="336" t="s">
        <v>459</v>
      </c>
      <c r="C4332" s="337">
        <v>38687</v>
      </c>
      <c r="D4332" s="338" t="s">
        <v>1753</v>
      </c>
      <c r="E4332" s="336" t="s">
        <v>1752</v>
      </c>
      <c r="F4332" s="338"/>
      <c r="G4332" s="338" t="s">
        <v>413</v>
      </c>
      <c r="H4332" s="338" t="s">
        <v>412</v>
      </c>
      <c r="I4332" s="338" t="s">
        <v>411</v>
      </c>
      <c r="J4332" s="339"/>
      <c r="K4332" s="339"/>
      <c r="L4332" s="339" t="s">
        <v>409</v>
      </c>
      <c r="M4332" s="339" t="s">
        <v>409</v>
      </c>
      <c r="N4332" s="338" t="s">
        <v>417</v>
      </c>
      <c r="O4332" s="338" t="s">
        <v>409</v>
      </c>
      <c r="P4332" s="338" t="s">
        <v>443</v>
      </c>
    </row>
    <row r="4333" spans="2:16" x14ac:dyDescent="0.25">
      <c r="B4333" s="336" t="s">
        <v>416</v>
      </c>
      <c r="C4333" s="337">
        <v>38687</v>
      </c>
      <c r="D4333" s="338" t="s">
        <v>1751</v>
      </c>
      <c r="E4333" s="336" t="s">
        <v>880</v>
      </c>
      <c r="F4333" s="338"/>
      <c r="G4333" s="338">
        <v>170</v>
      </c>
      <c r="H4333" s="338" t="s">
        <v>425</v>
      </c>
      <c r="I4333" s="338" t="s">
        <v>411</v>
      </c>
      <c r="J4333" s="339"/>
      <c r="K4333" s="339"/>
      <c r="L4333" s="339" t="s">
        <v>409</v>
      </c>
      <c r="M4333" s="339" t="s">
        <v>409</v>
      </c>
      <c r="N4333" s="338" t="s">
        <v>417</v>
      </c>
      <c r="O4333" s="338" t="s">
        <v>409</v>
      </c>
      <c r="P4333" s="338" t="s">
        <v>417</v>
      </c>
    </row>
    <row r="4334" spans="2:16" x14ac:dyDescent="0.25">
      <c r="B4334" s="336" t="s">
        <v>416</v>
      </c>
      <c r="C4334" s="337">
        <v>38687</v>
      </c>
      <c r="D4334" s="338" t="s">
        <v>1750</v>
      </c>
      <c r="E4334" s="336" t="s">
        <v>1749</v>
      </c>
      <c r="F4334" s="338" t="s">
        <v>1748</v>
      </c>
      <c r="G4334" s="338">
        <v>52</v>
      </c>
      <c r="H4334" s="338" t="s">
        <v>425</v>
      </c>
      <c r="I4334" s="338" t="s">
        <v>411</v>
      </c>
      <c r="J4334" s="339">
        <v>0.40052700000000002</v>
      </c>
      <c r="K4334" s="339"/>
      <c r="L4334" s="339">
        <v>2.3069899999999999</v>
      </c>
      <c r="M4334" s="339">
        <v>13.6629</v>
      </c>
      <c r="N4334" s="338" t="s">
        <v>417</v>
      </c>
      <c r="O4334" s="338" t="s">
        <v>432</v>
      </c>
      <c r="P4334" s="338"/>
    </row>
    <row r="4335" spans="2:16" x14ac:dyDescent="0.25">
      <c r="B4335" s="336" t="s">
        <v>416</v>
      </c>
      <c r="C4335" s="337">
        <v>38686</v>
      </c>
      <c r="D4335" s="338" t="s">
        <v>1747</v>
      </c>
      <c r="E4335" s="336" t="s">
        <v>983</v>
      </c>
      <c r="F4335" s="338" t="s">
        <v>1746</v>
      </c>
      <c r="G4335" s="338" t="s">
        <v>413</v>
      </c>
      <c r="H4335" s="338" t="s">
        <v>425</v>
      </c>
      <c r="I4335" s="338" t="s">
        <v>411</v>
      </c>
      <c r="J4335" s="339"/>
      <c r="K4335" s="339"/>
      <c r="L4335" s="339"/>
      <c r="M4335" s="339"/>
      <c r="N4335" s="338"/>
      <c r="O4335" s="338" t="s">
        <v>408</v>
      </c>
      <c r="P4335" s="338" t="s">
        <v>417</v>
      </c>
    </row>
    <row r="4336" spans="2:16" x14ac:dyDescent="0.25">
      <c r="B4336" s="336" t="s">
        <v>416</v>
      </c>
      <c r="C4336" s="337">
        <v>38686</v>
      </c>
      <c r="D4336" s="338" t="s">
        <v>1745</v>
      </c>
      <c r="E4336" s="336" t="s">
        <v>1744</v>
      </c>
      <c r="F4336" s="338" t="s">
        <v>1743</v>
      </c>
      <c r="G4336" s="338">
        <v>8.5</v>
      </c>
      <c r="H4336" s="338" t="s">
        <v>425</v>
      </c>
      <c r="I4336" s="338" t="s">
        <v>411</v>
      </c>
      <c r="J4336" s="339"/>
      <c r="K4336" s="339"/>
      <c r="L4336" s="339">
        <v>3.3931</v>
      </c>
      <c r="M4336" s="339">
        <v>9.5134500000000006</v>
      </c>
      <c r="N4336" s="338"/>
      <c r="O4336" s="338" t="s">
        <v>410</v>
      </c>
      <c r="P4336" s="338" t="s">
        <v>410</v>
      </c>
    </row>
    <row r="4337" spans="2:16" x14ac:dyDescent="0.25">
      <c r="B4337" s="336" t="s">
        <v>416</v>
      </c>
      <c r="C4337" s="337">
        <v>38679</v>
      </c>
      <c r="D4337" s="338" t="s">
        <v>1742</v>
      </c>
      <c r="E4337" s="336" t="s">
        <v>959</v>
      </c>
      <c r="F4337" s="338"/>
      <c r="G4337" s="338">
        <v>8.3000000000000007</v>
      </c>
      <c r="H4337" s="338" t="s">
        <v>425</v>
      </c>
      <c r="I4337" s="338" t="s">
        <v>411</v>
      </c>
      <c r="J4337" s="339"/>
      <c r="K4337" s="339"/>
      <c r="L4337" s="339" t="s">
        <v>409</v>
      </c>
      <c r="M4337" s="339" t="s">
        <v>409</v>
      </c>
      <c r="N4337" s="338"/>
      <c r="O4337" s="338" t="s">
        <v>409</v>
      </c>
      <c r="P4337" s="338" t="s">
        <v>443</v>
      </c>
    </row>
    <row r="4338" spans="2:16" x14ac:dyDescent="0.25">
      <c r="B4338" s="336" t="s">
        <v>416</v>
      </c>
      <c r="C4338" s="337">
        <v>38679</v>
      </c>
      <c r="D4338" s="338" t="s">
        <v>1741</v>
      </c>
      <c r="E4338" s="336" t="s">
        <v>1740</v>
      </c>
      <c r="F4338" s="338" t="s">
        <v>1739</v>
      </c>
      <c r="G4338" s="338" t="s">
        <v>413</v>
      </c>
      <c r="H4338" s="338" t="s">
        <v>412</v>
      </c>
      <c r="I4338" s="338" t="s">
        <v>411</v>
      </c>
      <c r="J4338" s="339"/>
      <c r="K4338" s="339"/>
      <c r="L4338" s="339"/>
      <c r="M4338" s="339"/>
      <c r="N4338" s="338" t="s">
        <v>417</v>
      </c>
      <c r="O4338" s="338" t="s">
        <v>417</v>
      </c>
      <c r="P4338" s="338" t="s">
        <v>417</v>
      </c>
    </row>
    <row r="4339" spans="2:16" x14ac:dyDescent="0.25">
      <c r="B4339" s="336" t="s">
        <v>416</v>
      </c>
      <c r="C4339" s="337">
        <v>38678</v>
      </c>
      <c r="D4339" s="338" t="s">
        <v>1738</v>
      </c>
      <c r="E4339" s="336" t="s">
        <v>587</v>
      </c>
      <c r="F4339" s="338"/>
      <c r="G4339" s="338" t="s">
        <v>413</v>
      </c>
      <c r="H4339" s="338" t="s">
        <v>412</v>
      </c>
      <c r="I4339" s="338" t="s">
        <v>411</v>
      </c>
      <c r="J4339" s="339"/>
      <c r="K4339" s="339"/>
      <c r="L4339" s="339" t="s">
        <v>409</v>
      </c>
      <c r="M4339" s="339" t="s">
        <v>409</v>
      </c>
      <c r="N4339" s="338" t="s">
        <v>432</v>
      </c>
      <c r="O4339" s="338" t="s">
        <v>409</v>
      </c>
      <c r="P4339" s="338" t="s">
        <v>417</v>
      </c>
    </row>
    <row r="4340" spans="2:16" x14ac:dyDescent="0.25">
      <c r="B4340" s="336" t="s">
        <v>459</v>
      </c>
      <c r="C4340" s="337">
        <v>38678</v>
      </c>
      <c r="D4340" s="338" t="s">
        <v>1358</v>
      </c>
      <c r="E4340" s="336" t="s">
        <v>714</v>
      </c>
      <c r="F4340" s="338"/>
      <c r="G4340" s="338">
        <v>9.1999999999999993</v>
      </c>
      <c r="H4340" s="338" t="s">
        <v>425</v>
      </c>
      <c r="I4340" s="338" t="s">
        <v>411</v>
      </c>
      <c r="J4340" s="339">
        <v>0.223714</v>
      </c>
      <c r="K4340" s="339">
        <v>29.273299999999999</v>
      </c>
      <c r="L4340" s="339" t="s">
        <v>409</v>
      </c>
      <c r="M4340" s="339" t="s">
        <v>409</v>
      </c>
      <c r="N4340" s="338" t="s">
        <v>417</v>
      </c>
      <c r="O4340" s="338" t="s">
        <v>409</v>
      </c>
      <c r="P4340" s="338" t="s">
        <v>417</v>
      </c>
    </row>
    <row r="4341" spans="2:16" x14ac:dyDescent="0.25">
      <c r="B4341" s="336" t="s">
        <v>416</v>
      </c>
      <c r="C4341" s="337">
        <v>38677</v>
      </c>
      <c r="D4341" s="338" t="s">
        <v>1737</v>
      </c>
      <c r="E4341" s="336" t="s">
        <v>842</v>
      </c>
      <c r="F4341" s="338" t="s">
        <v>1163</v>
      </c>
      <c r="G4341" s="338" t="s">
        <v>413</v>
      </c>
      <c r="H4341" s="338" t="s">
        <v>425</v>
      </c>
      <c r="I4341" s="338" t="s">
        <v>411</v>
      </c>
      <c r="J4341" s="339"/>
      <c r="K4341" s="339"/>
      <c r="L4341" s="339"/>
      <c r="M4341" s="339"/>
      <c r="N4341" s="338"/>
      <c r="O4341" s="338" t="s">
        <v>417</v>
      </c>
      <c r="P4341" s="338" t="s">
        <v>487</v>
      </c>
    </row>
    <row r="4342" spans="2:16" x14ac:dyDescent="0.25">
      <c r="B4342" s="336" t="s">
        <v>416</v>
      </c>
      <c r="C4342" s="337">
        <v>38674</v>
      </c>
      <c r="D4342" s="338" t="s">
        <v>1736</v>
      </c>
      <c r="E4342" s="336" t="s">
        <v>910</v>
      </c>
      <c r="F4342" s="338"/>
      <c r="G4342" s="338">
        <v>5</v>
      </c>
      <c r="H4342" s="338" t="s">
        <v>336</v>
      </c>
      <c r="I4342" s="338" t="s">
        <v>411</v>
      </c>
      <c r="J4342" s="339"/>
      <c r="K4342" s="339"/>
      <c r="L4342" s="339" t="s">
        <v>409</v>
      </c>
      <c r="M4342" s="339" t="s">
        <v>409</v>
      </c>
      <c r="N4342" s="338" t="s">
        <v>417</v>
      </c>
      <c r="O4342" s="338" t="s">
        <v>409</v>
      </c>
      <c r="P4342" s="338" t="s">
        <v>417</v>
      </c>
    </row>
    <row r="4343" spans="2:16" x14ac:dyDescent="0.25">
      <c r="B4343" s="336" t="s">
        <v>416</v>
      </c>
      <c r="C4343" s="337">
        <v>38672</v>
      </c>
      <c r="D4343" s="338" t="s">
        <v>1735</v>
      </c>
      <c r="E4343" s="336" t="s">
        <v>1733</v>
      </c>
      <c r="F4343" s="338"/>
      <c r="G4343" s="338" t="s">
        <v>413</v>
      </c>
      <c r="H4343" s="338" t="s">
        <v>425</v>
      </c>
      <c r="I4343" s="338" t="s">
        <v>411</v>
      </c>
      <c r="J4343" s="339"/>
      <c r="K4343" s="339"/>
      <c r="L4343" s="339" t="s">
        <v>409</v>
      </c>
      <c r="M4343" s="339" t="s">
        <v>409</v>
      </c>
      <c r="N4343" s="338" t="s">
        <v>417</v>
      </c>
      <c r="O4343" s="338" t="s">
        <v>409</v>
      </c>
      <c r="P4343" s="338" t="s">
        <v>443</v>
      </c>
    </row>
    <row r="4344" spans="2:16" x14ac:dyDescent="0.25">
      <c r="B4344" s="336" t="s">
        <v>416</v>
      </c>
      <c r="C4344" s="337">
        <v>38672</v>
      </c>
      <c r="D4344" s="338" t="s">
        <v>1734</v>
      </c>
      <c r="E4344" s="336" t="s">
        <v>1733</v>
      </c>
      <c r="F4344" s="338"/>
      <c r="G4344" s="338" t="s">
        <v>413</v>
      </c>
      <c r="H4344" s="338" t="s">
        <v>425</v>
      </c>
      <c r="I4344" s="338" t="s">
        <v>411</v>
      </c>
      <c r="J4344" s="339"/>
      <c r="K4344" s="339"/>
      <c r="L4344" s="339" t="s">
        <v>409</v>
      </c>
      <c r="M4344" s="339" t="s">
        <v>409</v>
      </c>
      <c r="N4344" s="338" t="s">
        <v>417</v>
      </c>
      <c r="O4344" s="338" t="s">
        <v>409</v>
      </c>
      <c r="P4344" s="338" t="s">
        <v>443</v>
      </c>
    </row>
    <row r="4345" spans="2:16" x14ac:dyDescent="0.25">
      <c r="B4345" s="336" t="s">
        <v>416</v>
      </c>
      <c r="C4345" s="337">
        <v>38671</v>
      </c>
      <c r="D4345" s="338" t="s">
        <v>1732</v>
      </c>
      <c r="E4345" s="336" t="s">
        <v>1731</v>
      </c>
      <c r="F4345" s="338" t="s">
        <v>1730</v>
      </c>
      <c r="G4345" s="338" t="s">
        <v>413</v>
      </c>
      <c r="H4345" s="338" t="s">
        <v>425</v>
      </c>
      <c r="I4345" s="338" t="s">
        <v>411</v>
      </c>
      <c r="J4345" s="339"/>
      <c r="K4345" s="339"/>
      <c r="L4345" s="339">
        <v>0.949708</v>
      </c>
      <c r="M4345" s="339">
        <v>11.347099999999999</v>
      </c>
      <c r="N4345" s="338"/>
      <c r="O4345" s="338" t="s">
        <v>417</v>
      </c>
      <c r="P4345" s="338" t="s">
        <v>410</v>
      </c>
    </row>
    <row r="4346" spans="2:16" x14ac:dyDescent="0.25">
      <c r="B4346" s="336" t="s">
        <v>416</v>
      </c>
      <c r="C4346" s="337">
        <v>38671</v>
      </c>
      <c r="D4346" s="338" t="s">
        <v>1729</v>
      </c>
      <c r="E4346" s="336" t="s">
        <v>1728</v>
      </c>
      <c r="F4346" s="338"/>
      <c r="G4346" s="338">
        <v>30.2</v>
      </c>
      <c r="H4346" s="338" t="s">
        <v>429</v>
      </c>
      <c r="I4346" s="338" t="s">
        <v>411</v>
      </c>
      <c r="J4346" s="339"/>
      <c r="K4346" s="339"/>
      <c r="L4346" s="339" t="s">
        <v>409</v>
      </c>
      <c r="M4346" s="339" t="s">
        <v>409</v>
      </c>
      <c r="N4346" s="338" t="s">
        <v>417</v>
      </c>
      <c r="O4346" s="338" t="s">
        <v>409</v>
      </c>
      <c r="P4346" s="338" t="s">
        <v>417</v>
      </c>
    </row>
    <row r="4347" spans="2:16" x14ac:dyDescent="0.25">
      <c r="B4347" s="336" t="s">
        <v>416</v>
      </c>
      <c r="C4347" s="337">
        <v>38671</v>
      </c>
      <c r="D4347" s="338" t="s">
        <v>1727</v>
      </c>
      <c r="E4347" s="336" t="s">
        <v>1726</v>
      </c>
      <c r="F4347" s="338"/>
      <c r="G4347" s="338">
        <v>33.08</v>
      </c>
      <c r="H4347" s="338" t="s">
        <v>336</v>
      </c>
      <c r="I4347" s="338" t="s">
        <v>411</v>
      </c>
      <c r="J4347" s="339"/>
      <c r="K4347" s="339"/>
      <c r="L4347" s="339" t="s">
        <v>409</v>
      </c>
      <c r="M4347" s="339" t="s">
        <v>409</v>
      </c>
      <c r="N4347" s="338" t="s">
        <v>487</v>
      </c>
      <c r="O4347" s="338" t="s">
        <v>409</v>
      </c>
      <c r="P4347" s="338" t="s">
        <v>605</v>
      </c>
    </row>
    <row r="4348" spans="2:16" x14ac:dyDescent="0.25">
      <c r="B4348" s="336" t="s">
        <v>416</v>
      </c>
      <c r="C4348" s="337">
        <v>38670</v>
      </c>
      <c r="D4348" s="338" t="s">
        <v>1725</v>
      </c>
      <c r="E4348" s="336" t="s">
        <v>1724</v>
      </c>
      <c r="F4348" s="338"/>
      <c r="G4348" s="338">
        <v>14.74</v>
      </c>
      <c r="H4348" s="338" t="s">
        <v>425</v>
      </c>
      <c r="I4348" s="338" t="s">
        <v>411</v>
      </c>
      <c r="J4348" s="339"/>
      <c r="K4348" s="339"/>
      <c r="L4348" s="339" t="s">
        <v>409</v>
      </c>
      <c r="M4348" s="339" t="s">
        <v>409</v>
      </c>
      <c r="N4348" s="338" t="s">
        <v>417</v>
      </c>
      <c r="O4348" s="338" t="s">
        <v>409</v>
      </c>
      <c r="P4348" s="338" t="s">
        <v>417</v>
      </c>
    </row>
    <row r="4349" spans="2:16" x14ac:dyDescent="0.25">
      <c r="B4349" s="336" t="s">
        <v>416</v>
      </c>
      <c r="C4349" s="337">
        <v>38667</v>
      </c>
      <c r="D4349" s="338" t="s">
        <v>1233</v>
      </c>
      <c r="E4349" s="336" t="s">
        <v>1025</v>
      </c>
      <c r="F4349" s="338"/>
      <c r="G4349" s="338" t="s">
        <v>413</v>
      </c>
      <c r="H4349" s="338" t="s">
        <v>412</v>
      </c>
      <c r="I4349" s="338" t="s">
        <v>411</v>
      </c>
      <c r="J4349" s="339"/>
      <c r="K4349" s="339"/>
      <c r="L4349" s="339" t="s">
        <v>409</v>
      </c>
      <c r="M4349" s="339" t="s">
        <v>409</v>
      </c>
      <c r="N4349" s="338" t="s">
        <v>417</v>
      </c>
      <c r="O4349" s="338" t="s">
        <v>409</v>
      </c>
      <c r="P4349" s="338" t="s">
        <v>417</v>
      </c>
    </row>
    <row r="4350" spans="2:16" x14ac:dyDescent="0.25">
      <c r="B4350" s="336" t="s">
        <v>416</v>
      </c>
      <c r="C4350" s="337">
        <v>38667</v>
      </c>
      <c r="D4350" s="338" t="s">
        <v>1723</v>
      </c>
      <c r="E4350" s="336" t="s">
        <v>1722</v>
      </c>
      <c r="F4350" s="338"/>
      <c r="G4350" s="338" t="s">
        <v>413</v>
      </c>
      <c r="H4350" s="338" t="s">
        <v>425</v>
      </c>
      <c r="I4350" s="338" t="s">
        <v>411</v>
      </c>
      <c r="J4350" s="339"/>
      <c r="K4350" s="339"/>
      <c r="L4350" s="339" t="s">
        <v>409</v>
      </c>
      <c r="M4350" s="339" t="s">
        <v>409</v>
      </c>
      <c r="N4350" s="338"/>
      <c r="O4350" s="338" t="s">
        <v>409</v>
      </c>
      <c r="P4350" s="338" t="s">
        <v>417</v>
      </c>
    </row>
    <row r="4351" spans="2:16" x14ac:dyDescent="0.25">
      <c r="B4351" s="336" t="s">
        <v>416</v>
      </c>
      <c r="C4351" s="337">
        <v>38667</v>
      </c>
      <c r="D4351" s="338" t="s">
        <v>1721</v>
      </c>
      <c r="E4351" s="336" t="s">
        <v>1720</v>
      </c>
      <c r="F4351" s="338" t="s">
        <v>1403</v>
      </c>
      <c r="G4351" s="338" t="s">
        <v>413</v>
      </c>
      <c r="H4351" s="338" t="s">
        <v>412</v>
      </c>
      <c r="I4351" s="338" t="s">
        <v>411</v>
      </c>
      <c r="J4351" s="339"/>
      <c r="K4351" s="339"/>
      <c r="L4351" s="339">
        <v>0.37032799999999999</v>
      </c>
      <c r="M4351" s="339">
        <v>6.0799500000000002</v>
      </c>
      <c r="N4351" s="338"/>
      <c r="O4351" s="338" t="s">
        <v>417</v>
      </c>
      <c r="P4351" s="338"/>
    </row>
    <row r="4352" spans="2:16" x14ac:dyDescent="0.25">
      <c r="B4352" s="336" t="s">
        <v>416</v>
      </c>
      <c r="C4352" s="337">
        <v>38666</v>
      </c>
      <c r="D4352" s="338" t="s">
        <v>875</v>
      </c>
      <c r="E4352" s="336" t="s">
        <v>874</v>
      </c>
      <c r="F4352" s="338" t="s">
        <v>1719</v>
      </c>
      <c r="G4352" s="338" t="s">
        <v>413</v>
      </c>
      <c r="H4352" s="338" t="s">
        <v>412</v>
      </c>
      <c r="I4352" s="338" t="s">
        <v>411</v>
      </c>
      <c r="J4352" s="339"/>
      <c r="K4352" s="339"/>
      <c r="L4352" s="339"/>
      <c r="M4352" s="339"/>
      <c r="N4352" s="338"/>
      <c r="O4352" s="338" t="s">
        <v>410</v>
      </c>
      <c r="P4352" s="338" t="s">
        <v>417</v>
      </c>
    </row>
    <row r="4353" spans="2:16" x14ac:dyDescent="0.25">
      <c r="B4353" s="336" t="s">
        <v>416</v>
      </c>
      <c r="C4353" s="337">
        <v>38666</v>
      </c>
      <c r="D4353" s="338" t="s">
        <v>1718</v>
      </c>
      <c r="E4353" s="336" t="s">
        <v>842</v>
      </c>
      <c r="F4353" s="338"/>
      <c r="G4353" s="338" t="s">
        <v>413</v>
      </c>
      <c r="H4353" s="338" t="s">
        <v>412</v>
      </c>
      <c r="I4353" s="338" t="s">
        <v>411</v>
      </c>
      <c r="J4353" s="339"/>
      <c r="K4353" s="339"/>
      <c r="L4353" s="339" t="s">
        <v>409</v>
      </c>
      <c r="M4353" s="339" t="s">
        <v>409</v>
      </c>
      <c r="N4353" s="338" t="s">
        <v>417</v>
      </c>
      <c r="O4353" s="338" t="s">
        <v>409</v>
      </c>
      <c r="P4353" s="338" t="s">
        <v>487</v>
      </c>
    </row>
    <row r="4354" spans="2:16" x14ac:dyDescent="0.25">
      <c r="B4354" s="336" t="s">
        <v>416</v>
      </c>
      <c r="C4354" s="337">
        <v>38666</v>
      </c>
      <c r="D4354" s="338" t="s">
        <v>1717</v>
      </c>
      <c r="E4354" s="336" t="s">
        <v>1716</v>
      </c>
      <c r="F4354" s="338"/>
      <c r="G4354" s="338" t="s">
        <v>413</v>
      </c>
      <c r="H4354" s="338" t="s">
        <v>336</v>
      </c>
      <c r="I4354" s="338" t="s">
        <v>411</v>
      </c>
      <c r="J4354" s="339"/>
      <c r="K4354" s="339"/>
      <c r="L4354" s="339" t="s">
        <v>409</v>
      </c>
      <c r="M4354" s="339" t="s">
        <v>409</v>
      </c>
      <c r="N4354" s="338" t="s">
        <v>417</v>
      </c>
      <c r="O4354" s="338" t="s">
        <v>409</v>
      </c>
      <c r="P4354" s="338" t="s">
        <v>408</v>
      </c>
    </row>
    <row r="4355" spans="2:16" x14ac:dyDescent="0.25">
      <c r="B4355" s="336" t="s">
        <v>416</v>
      </c>
      <c r="C4355" s="337">
        <v>38665</v>
      </c>
      <c r="D4355" s="338" t="s">
        <v>1715</v>
      </c>
      <c r="E4355" s="336" t="s">
        <v>678</v>
      </c>
      <c r="F4355" s="338"/>
      <c r="G4355" s="338">
        <v>50.4</v>
      </c>
      <c r="H4355" s="338" t="s">
        <v>425</v>
      </c>
      <c r="I4355" s="338" t="s">
        <v>411</v>
      </c>
      <c r="J4355" s="339"/>
      <c r="K4355" s="339"/>
      <c r="L4355" s="339" t="s">
        <v>409</v>
      </c>
      <c r="M4355" s="339" t="s">
        <v>409</v>
      </c>
      <c r="N4355" s="338" t="s">
        <v>410</v>
      </c>
      <c r="O4355" s="338" t="s">
        <v>409</v>
      </c>
      <c r="P4355" s="338" t="s">
        <v>410</v>
      </c>
    </row>
    <row r="4356" spans="2:16" x14ac:dyDescent="0.25">
      <c r="B4356" s="336" t="s">
        <v>416</v>
      </c>
      <c r="C4356" s="337">
        <v>38665</v>
      </c>
      <c r="D4356" s="338" t="s">
        <v>1714</v>
      </c>
      <c r="E4356" s="336" t="s">
        <v>1713</v>
      </c>
      <c r="F4356" s="338" t="s">
        <v>1712</v>
      </c>
      <c r="G4356" s="338">
        <v>225</v>
      </c>
      <c r="H4356" s="338" t="s">
        <v>425</v>
      </c>
      <c r="I4356" s="338" t="s">
        <v>411</v>
      </c>
      <c r="J4356" s="339"/>
      <c r="K4356" s="339"/>
      <c r="L4356" s="339">
        <v>0.69886999999999999</v>
      </c>
      <c r="M4356" s="339"/>
      <c r="N4356" s="338"/>
      <c r="O4356" s="338" t="s">
        <v>417</v>
      </c>
      <c r="P4356" s="338"/>
    </row>
    <row r="4357" spans="2:16" x14ac:dyDescent="0.25">
      <c r="B4357" s="336" t="s">
        <v>416</v>
      </c>
      <c r="C4357" s="337">
        <v>38665</v>
      </c>
      <c r="D4357" s="338" t="s">
        <v>1711</v>
      </c>
      <c r="E4357" s="336" t="s">
        <v>1710</v>
      </c>
      <c r="F4357" s="338"/>
      <c r="G4357" s="338" t="s">
        <v>413</v>
      </c>
      <c r="H4357" s="338" t="s">
        <v>412</v>
      </c>
      <c r="I4357" s="338" t="s">
        <v>411</v>
      </c>
      <c r="J4357" s="339"/>
      <c r="K4357" s="339"/>
      <c r="L4357" s="339" t="s">
        <v>409</v>
      </c>
      <c r="M4357" s="339" t="s">
        <v>409</v>
      </c>
      <c r="N4357" s="338" t="s">
        <v>432</v>
      </c>
      <c r="O4357" s="338" t="s">
        <v>409</v>
      </c>
      <c r="P4357" s="338" t="s">
        <v>432</v>
      </c>
    </row>
    <row r="4358" spans="2:16" x14ac:dyDescent="0.25">
      <c r="B4358" s="336" t="s">
        <v>416</v>
      </c>
      <c r="C4358" s="337">
        <v>38664</v>
      </c>
      <c r="D4358" s="338" t="s">
        <v>1709</v>
      </c>
      <c r="E4358" s="336" t="s">
        <v>1708</v>
      </c>
      <c r="F4358" s="338"/>
      <c r="G4358" s="338">
        <v>1274.82</v>
      </c>
      <c r="H4358" s="338" t="s">
        <v>425</v>
      </c>
      <c r="I4358" s="338" t="s">
        <v>411</v>
      </c>
      <c r="J4358" s="339"/>
      <c r="K4358" s="339"/>
      <c r="L4358" s="339" t="s">
        <v>409</v>
      </c>
      <c r="M4358" s="339" t="s">
        <v>409</v>
      </c>
      <c r="N4358" s="338" t="s">
        <v>417</v>
      </c>
      <c r="O4358" s="338" t="s">
        <v>409</v>
      </c>
      <c r="P4358" s="338" t="s">
        <v>443</v>
      </c>
    </row>
    <row r="4359" spans="2:16" x14ac:dyDescent="0.25">
      <c r="B4359" s="336" t="s">
        <v>416</v>
      </c>
      <c r="C4359" s="337">
        <v>38663</v>
      </c>
      <c r="D4359" s="338" t="s">
        <v>1707</v>
      </c>
      <c r="E4359" s="336" t="s">
        <v>1706</v>
      </c>
      <c r="F4359" s="338" t="s">
        <v>1705</v>
      </c>
      <c r="G4359" s="338" t="s">
        <v>413</v>
      </c>
      <c r="H4359" s="338" t="s">
        <v>412</v>
      </c>
      <c r="I4359" s="338" t="s">
        <v>411</v>
      </c>
      <c r="J4359" s="339">
        <v>0.73611800000000005</v>
      </c>
      <c r="K4359" s="339">
        <v>4.7530599999999996</v>
      </c>
      <c r="L4359" s="339"/>
      <c r="M4359" s="339"/>
      <c r="N4359" s="338" t="s">
        <v>417</v>
      </c>
      <c r="O4359" s="338" t="s">
        <v>443</v>
      </c>
      <c r="P4359" s="338"/>
    </row>
    <row r="4360" spans="2:16" x14ac:dyDescent="0.25">
      <c r="B4360" s="336" t="s">
        <v>416</v>
      </c>
      <c r="C4360" s="337">
        <v>38663</v>
      </c>
      <c r="D4360" s="338" t="s">
        <v>1704</v>
      </c>
      <c r="E4360" s="336" t="s">
        <v>1703</v>
      </c>
      <c r="F4360" s="338" t="s">
        <v>1702</v>
      </c>
      <c r="G4360" s="338">
        <v>50</v>
      </c>
      <c r="H4360" s="338" t="s">
        <v>425</v>
      </c>
      <c r="I4360" s="338" t="s">
        <v>411</v>
      </c>
      <c r="J4360" s="339"/>
      <c r="K4360" s="339"/>
      <c r="L4360" s="339"/>
      <c r="M4360" s="339"/>
      <c r="N4360" s="338" t="s">
        <v>482</v>
      </c>
      <c r="O4360" s="338" t="s">
        <v>482</v>
      </c>
      <c r="P4360" s="338" t="s">
        <v>482</v>
      </c>
    </row>
    <row r="4361" spans="2:16" x14ac:dyDescent="0.25">
      <c r="B4361" s="336" t="s">
        <v>416</v>
      </c>
      <c r="C4361" s="337">
        <v>38663</v>
      </c>
      <c r="D4361" s="338" t="s">
        <v>1701</v>
      </c>
      <c r="E4361" s="336" t="s">
        <v>1700</v>
      </c>
      <c r="F4361" s="338" t="s">
        <v>566</v>
      </c>
      <c r="G4361" s="338" t="s">
        <v>413</v>
      </c>
      <c r="H4361" s="338" t="s">
        <v>412</v>
      </c>
      <c r="I4361" s="338" t="s">
        <v>411</v>
      </c>
      <c r="J4361" s="339"/>
      <c r="K4361" s="339"/>
      <c r="L4361" s="339">
        <v>1.75058</v>
      </c>
      <c r="M4361" s="339">
        <v>12.6243</v>
      </c>
      <c r="N4361" s="338"/>
      <c r="O4361" s="338" t="s">
        <v>410</v>
      </c>
      <c r="P4361" s="338" t="s">
        <v>410</v>
      </c>
    </row>
    <row r="4362" spans="2:16" x14ac:dyDescent="0.25">
      <c r="B4362" s="336" t="s">
        <v>416</v>
      </c>
      <c r="C4362" s="337">
        <v>38663</v>
      </c>
      <c r="D4362" s="338" t="s">
        <v>1699</v>
      </c>
      <c r="E4362" s="336" t="s">
        <v>1698</v>
      </c>
      <c r="F4362" s="338" t="s">
        <v>1697</v>
      </c>
      <c r="G4362" s="338" t="s">
        <v>413</v>
      </c>
      <c r="H4362" s="338" t="s">
        <v>425</v>
      </c>
      <c r="I4362" s="338" t="s">
        <v>411</v>
      </c>
      <c r="J4362" s="339"/>
      <c r="K4362" s="339"/>
      <c r="L4362" s="339">
        <v>1.2971699999999999</v>
      </c>
      <c r="M4362" s="339">
        <v>9.2061700000000002</v>
      </c>
      <c r="N4362" s="338"/>
      <c r="O4362" s="338" t="s">
        <v>487</v>
      </c>
      <c r="P4362" s="338" t="s">
        <v>417</v>
      </c>
    </row>
    <row r="4363" spans="2:16" x14ac:dyDescent="0.25">
      <c r="B4363" s="336" t="s">
        <v>416</v>
      </c>
      <c r="C4363" s="337">
        <v>38660</v>
      </c>
      <c r="D4363" s="338" t="s">
        <v>1696</v>
      </c>
      <c r="E4363" s="336" t="s">
        <v>1695</v>
      </c>
      <c r="F4363" s="338"/>
      <c r="G4363" s="338" t="s">
        <v>413</v>
      </c>
      <c r="H4363" s="338" t="s">
        <v>425</v>
      </c>
      <c r="I4363" s="338" t="s">
        <v>411</v>
      </c>
      <c r="J4363" s="339">
        <v>0.26835500000000001</v>
      </c>
      <c r="K4363" s="339">
        <v>5.6063799999999997</v>
      </c>
      <c r="L4363" s="339" t="s">
        <v>409</v>
      </c>
      <c r="M4363" s="339" t="s">
        <v>409</v>
      </c>
      <c r="N4363" s="338" t="s">
        <v>417</v>
      </c>
      <c r="O4363" s="338" t="s">
        <v>409</v>
      </c>
      <c r="P4363" s="338" t="s">
        <v>543</v>
      </c>
    </row>
    <row r="4364" spans="2:16" x14ac:dyDescent="0.25">
      <c r="B4364" s="336" t="s">
        <v>459</v>
      </c>
      <c r="C4364" s="337">
        <v>38660</v>
      </c>
      <c r="D4364" s="338" t="s">
        <v>1694</v>
      </c>
      <c r="E4364" s="336" t="s">
        <v>939</v>
      </c>
      <c r="F4364" s="338" t="s">
        <v>1693</v>
      </c>
      <c r="G4364" s="338" t="s">
        <v>413</v>
      </c>
      <c r="H4364" s="338" t="s">
        <v>412</v>
      </c>
      <c r="I4364" s="338" t="s">
        <v>411</v>
      </c>
      <c r="J4364" s="339"/>
      <c r="K4364" s="339"/>
      <c r="L4364" s="339">
        <v>0.90548200000000001</v>
      </c>
      <c r="M4364" s="339"/>
      <c r="N4364" s="338" t="s">
        <v>417</v>
      </c>
      <c r="O4364" s="338" t="s">
        <v>443</v>
      </c>
      <c r="P4364" s="338"/>
    </row>
    <row r="4365" spans="2:16" x14ac:dyDescent="0.25">
      <c r="B4365" s="336" t="s">
        <v>416</v>
      </c>
      <c r="C4365" s="337">
        <v>38659</v>
      </c>
      <c r="D4365" s="338" t="s">
        <v>1692</v>
      </c>
      <c r="E4365" s="336" t="s">
        <v>1045</v>
      </c>
      <c r="F4365" s="338" t="s">
        <v>1691</v>
      </c>
      <c r="G4365" s="338" t="s">
        <v>413</v>
      </c>
      <c r="H4365" s="338" t="s">
        <v>412</v>
      </c>
      <c r="I4365" s="338" t="s">
        <v>411</v>
      </c>
      <c r="J4365" s="339"/>
      <c r="K4365" s="339"/>
      <c r="L4365" s="339"/>
      <c r="M4365" s="339"/>
      <c r="N4365" s="338" t="s">
        <v>432</v>
      </c>
      <c r="O4365" s="338" t="s">
        <v>612</v>
      </c>
      <c r="P4365" s="338" t="s">
        <v>432</v>
      </c>
    </row>
    <row r="4366" spans="2:16" x14ac:dyDescent="0.25">
      <c r="B4366" s="336" t="s">
        <v>416</v>
      </c>
      <c r="C4366" s="337">
        <v>38658</v>
      </c>
      <c r="D4366" s="338" t="s">
        <v>1690</v>
      </c>
      <c r="E4366" s="336" t="s">
        <v>1689</v>
      </c>
      <c r="F4366" s="338"/>
      <c r="G4366" s="338" t="s">
        <v>413</v>
      </c>
      <c r="H4366" s="338" t="s">
        <v>412</v>
      </c>
      <c r="I4366" s="338" t="s">
        <v>411</v>
      </c>
      <c r="J4366" s="339"/>
      <c r="K4366" s="339"/>
      <c r="L4366" s="339" t="s">
        <v>409</v>
      </c>
      <c r="M4366" s="339" t="s">
        <v>409</v>
      </c>
      <c r="N4366" s="338" t="s">
        <v>417</v>
      </c>
      <c r="O4366" s="338" t="s">
        <v>409</v>
      </c>
      <c r="P4366" s="338" t="s">
        <v>417</v>
      </c>
    </row>
    <row r="4367" spans="2:16" x14ac:dyDescent="0.25">
      <c r="B4367" s="336" t="s">
        <v>459</v>
      </c>
      <c r="C4367" s="337">
        <v>38657</v>
      </c>
      <c r="D4367" s="338" t="s">
        <v>1688</v>
      </c>
      <c r="E4367" s="336" t="s">
        <v>853</v>
      </c>
      <c r="F4367" s="338" t="s">
        <v>1687</v>
      </c>
      <c r="G4367" s="338">
        <v>2</v>
      </c>
      <c r="H4367" s="338" t="s">
        <v>425</v>
      </c>
      <c r="I4367" s="338" t="s">
        <v>411</v>
      </c>
      <c r="J4367" s="339"/>
      <c r="K4367" s="339"/>
      <c r="L4367" s="339"/>
      <c r="M4367" s="339"/>
      <c r="N4367" s="338" t="s">
        <v>417</v>
      </c>
      <c r="O4367" s="338" t="s">
        <v>417</v>
      </c>
      <c r="P4367" s="338" t="s">
        <v>410</v>
      </c>
    </row>
    <row r="4368" spans="2:16" x14ac:dyDescent="0.25">
      <c r="B4368" s="336" t="s">
        <v>416</v>
      </c>
      <c r="C4368" s="337">
        <v>38657</v>
      </c>
      <c r="D4368" s="338" t="s">
        <v>1686</v>
      </c>
      <c r="E4368" s="336" t="s">
        <v>1685</v>
      </c>
      <c r="F4368" s="338"/>
      <c r="G4368" s="338">
        <v>21</v>
      </c>
      <c r="H4368" s="338" t="s">
        <v>425</v>
      </c>
      <c r="I4368" s="338" t="s">
        <v>411</v>
      </c>
      <c r="J4368" s="339"/>
      <c r="K4368" s="339"/>
      <c r="L4368" s="339" t="s">
        <v>409</v>
      </c>
      <c r="M4368" s="339" t="s">
        <v>409</v>
      </c>
      <c r="N4368" s="338" t="s">
        <v>417</v>
      </c>
      <c r="O4368" s="338" t="s">
        <v>409</v>
      </c>
      <c r="P4368" s="338" t="s">
        <v>417</v>
      </c>
    </row>
    <row r="4369" spans="2:16" x14ac:dyDescent="0.25">
      <c r="B4369" s="336" t="s">
        <v>416</v>
      </c>
      <c r="C4369" s="337">
        <v>38657</v>
      </c>
      <c r="D4369" s="338" t="s">
        <v>1684</v>
      </c>
      <c r="E4369" s="336" t="s">
        <v>1683</v>
      </c>
      <c r="F4369" s="338"/>
      <c r="G4369" s="338" t="s">
        <v>413</v>
      </c>
      <c r="H4369" s="338" t="s">
        <v>412</v>
      </c>
      <c r="I4369" s="338" t="s">
        <v>411</v>
      </c>
      <c r="J4369" s="339"/>
      <c r="K4369" s="339"/>
      <c r="L4369" s="339" t="s">
        <v>409</v>
      </c>
      <c r="M4369" s="339" t="s">
        <v>409</v>
      </c>
      <c r="N4369" s="338" t="s">
        <v>417</v>
      </c>
      <c r="O4369" s="338" t="s">
        <v>409</v>
      </c>
      <c r="P4369" s="338" t="s">
        <v>417</v>
      </c>
    </row>
    <row r="4370" spans="2:16" x14ac:dyDescent="0.25">
      <c r="B4370" s="336" t="s">
        <v>416</v>
      </c>
      <c r="C4370" s="337">
        <v>38657</v>
      </c>
      <c r="D4370" s="338" t="s">
        <v>1682</v>
      </c>
      <c r="E4370" s="336" t="s">
        <v>1619</v>
      </c>
      <c r="F4370" s="338"/>
      <c r="G4370" s="338" t="s">
        <v>413</v>
      </c>
      <c r="H4370" s="338" t="s">
        <v>412</v>
      </c>
      <c r="I4370" s="338" t="s">
        <v>411</v>
      </c>
      <c r="J4370" s="339"/>
      <c r="K4370" s="339"/>
      <c r="L4370" s="339" t="s">
        <v>409</v>
      </c>
      <c r="M4370" s="339" t="s">
        <v>409</v>
      </c>
      <c r="N4370" s="338" t="s">
        <v>417</v>
      </c>
      <c r="O4370" s="338" t="s">
        <v>409</v>
      </c>
      <c r="P4370" s="338" t="s">
        <v>417</v>
      </c>
    </row>
    <row r="4371" spans="2:16" x14ac:dyDescent="0.25">
      <c r="B4371" s="336" t="s">
        <v>416</v>
      </c>
      <c r="C4371" s="337">
        <v>38657</v>
      </c>
      <c r="D4371" s="338" t="s">
        <v>1681</v>
      </c>
      <c r="E4371" s="336" t="s">
        <v>1680</v>
      </c>
      <c r="F4371" s="338"/>
      <c r="G4371" s="338" t="s">
        <v>413</v>
      </c>
      <c r="H4371" s="338" t="s">
        <v>412</v>
      </c>
      <c r="I4371" s="338" t="s">
        <v>411</v>
      </c>
      <c r="J4371" s="339"/>
      <c r="K4371" s="339"/>
      <c r="L4371" s="339" t="s">
        <v>409</v>
      </c>
      <c r="M4371" s="339" t="s">
        <v>409</v>
      </c>
      <c r="N4371" s="338" t="s">
        <v>417</v>
      </c>
      <c r="O4371" s="338" t="s">
        <v>409</v>
      </c>
      <c r="P4371" s="338" t="s">
        <v>487</v>
      </c>
    </row>
    <row r="4372" spans="2:16" x14ac:dyDescent="0.25">
      <c r="B4372" s="336" t="s">
        <v>416</v>
      </c>
      <c r="C4372" s="337">
        <v>38656</v>
      </c>
      <c r="D4372" s="338" t="s">
        <v>1679</v>
      </c>
      <c r="E4372" s="336" t="s">
        <v>1678</v>
      </c>
      <c r="F4372" s="338"/>
      <c r="G4372" s="338" t="s">
        <v>413</v>
      </c>
      <c r="H4372" s="338" t="s">
        <v>412</v>
      </c>
      <c r="I4372" s="338" t="s">
        <v>411</v>
      </c>
      <c r="J4372" s="339"/>
      <c r="K4372" s="339"/>
      <c r="L4372" s="339" t="s">
        <v>409</v>
      </c>
      <c r="M4372" s="339" t="s">
        <v>409</v>
      </c>
      <c r="N4372" s="338" t="s">
        <v>417</v>
      </c>
      <c r="O4372" s="338" t="s">
        <v>409</v>
      </c>
      <c r="P4372" s="338" t="s">
        <v>417</v>
      </c>
    </row>
    <row r="4373" spans="2:16" x14ac:dyDescent="0.25">
      <c r="B4373" s="336" t="s">
        <v>416</v>
      </c>
      <c r="C4373" s="337">
        <v>38656</v>
      </c>
      <c r="D4373" s="338" t="s">
        <v>1677</v>
      </c>
      <c r="E4373" s="336" t="s">
        <v>1317</v>
      </c>
      <c r="F4373" s="338" t="s">
        <v>1162</v>
      </c>
      <c r="G4373" s="338">
        <v>1185</v>
      </c>
      <c r="H4373" s="338" t="s">
        <v>425</v>
      </c>
      <c r="I4373" s="338" t="s">
        <v>411</v>
      </c>
      <c r="J4373" s="339"/>
      <c r="K4373" s="339"/>
      <c r="L4373" s="339">
        <v>0.86355599999999999</v>
      </c>
      <c r="M4373" s="339">
        <v>11.223699999999999</v>
      </c>
      <c r="N4373" s="338"/>
      <c r="O4373" s="338" t="s">
        <v>417</v>
      </c>
      <c r="P4373" s="338" t="s">
        <v>417</v>
      </c>
    </row>
    <row r="4374" spans="2:16" x14ac:dyDescent="0.25">
      <c r="B4374" s="336" t="s">
        <v>416</v>
      </c>
      <c r="C4374" s="337">
        <v>38656</v>
      </c>
      <c r="D4374" s="338" t="s">
        <v>1676</v>
      </c>
      <c r="E4374" s="336" t="s">
        <v>1675</v>
      </c>
      <c r="F4374" s="338" t="s">
        <v>1674</v>
      </c>
      <c r="G4374" s="338">
        <v>1.55</v>
      </c>
      <c r="H4374" s="338" t="s">
        <v>425</v>
      </c>
      <c r="I4374" s="338" t="s">
        <v>411</v>
      </c>
      <c r="J4374" s="339"/>
      <c r="K4374" s="339"/>
      <c r="L4374" s="339"/>
      <c r="M4374" s="339"/>
      <c r="N4374" s="338"/>
      <c r="O4374" s="338" t="s">
        <v>482</v>
      </c>
      <c r="P4374" s="338" t="s">
        <v>417</v>
      </c>
    </row>
    <row r="4375" spans="2:16" x14ac:dyDescent="0.25">
      <c r="B4375" s="336" t="s">
        <v>416</v>
      </c>
      <c r="C4375" s="337">
        <v>38653</v>
      </c>
      <c r="D4375" s="338" t="s">
        <v>1673</v>
      </c>
      <c r="E4375" s="336" t="s">
        <v>1672</v>
      </c>
      <c r="F4375" s="338"/>
      <c r="G4375" s="338" t="s">
        <v>413</v>
      </c>
      <c r="H4375" s="338" t="s">
        <v>336</v>
      </c>
      <c r="I4375" s="338" t="s">
        <v>411</v>
      </c>
      <c r="J4375" s="339"/>
      <c r="K4375" s="339"/>
      <c r="L4375" s="339" t="s">
        <v>409</v>
      </c>
      <c r="M4375" s="339" t="s">
        <v>409</v>
      </c>
      <c r="N4375" s="338" t="s">
        <v>417</v>
      </c>
      <c r="O4375" s="338" t="s">
        <v>409</v>
      </c>
      <c r="P4375" s="338" t="s">
        <v>417</v>
      </c>
    </row>
    <row r="4376" spans="2:16" x14ac:dyDescent="0.25">
      <c r="B4376" s="336" t="s">
        <v>416</v>
      </c>
      <c r="C4376" s="337">
        <v>38652</v>
      </c>
      <c r="D4376" s="338" t="s">
        <v>1671</v>
      </c>
      <c r="E4376" s="336" t="s">
        <v>1670</v>
      </c>
      <c r="F4376" s="338"/>
      <c r="G4376" s="338">
        <v>77</v>
      </c>
      <c r="H4376" s="338" t="s">
        <v>425</v>
      </c>
      <c r="I4376" s="338" t="s">
        <v>411</v>
      </c>
      <c r="J4376" s="339"/>
      <c r="K4376" s="339"/>
      <c r="L4376" s="339" t="s">
        <v>409</v>
      </c>
      <c r="M4376" s="339" t="s">
        <v>409</v>
      </c>
      <c r="N4376" s="338" t="s">
        <v>417</v>
      </c>
      <c r="O4376" s="338" t="s">
        <v>409</v>
      </c>
      <c r="P4376" s="338" t="s">
        <v>410</v>
      </c>
    </row>
    <row r="4377" spans="2:16" x14ac:dyDescent="0.25">
      <c r="B4377" s="336" t="s">
        <v>416</v>
      </c>
      <c r="C4377" s="337">
        <v>38651</v>
      </c>
      <c r="D4377" s="338" t="s">
        <v>1669</v>
      </c>
      <c r="E4377" s="336" t="s">
        <v>441</v>
      </c>
      <c r="F4377" s="338" t="s">
        <v>1668</v>
      </c>
      <c r="G4377" s="338" t="s">
        <v>413</v>
      </c>
      <c r="H4377" s="338" t="s">
        <v>425</v>
      </c>
      <c r="I4377" s="338" t="s">
        <v>411</v>
      </c>
      <c r="J4377" s="339"/>
      <c r="K4377" s="339"/>
      <c r="L4377" s="339"/>
      <c r="M4377" s="339"/>
      <c r="N4377" s="338"/>
      <c r="O4377" s="338" t="s">
        <v>417</v>
      </c>
      <c r="P4377" s="338" t="s">
        <v>417</v>
      </c>
    </row>
    <row r="4378" spans="2:16" x14ac:dyDescent="0.25">
      <c r="B4378" s="336" t="s">
        <v>416</v>
      </c>
      <c r="C4378" s="337">
        <v>38651</v>
      </c>
      <c r="D4378" s="338" t="s">
        <v>1667</v>
      </c>
      <c r="E4378" s="336" t="s">
        <v>1666</v>
      </c>
      <c r="F4378" s="338"/>
      <c r="G4378" s="338" t="s">
        <v>413</v>
      </c>
      <c r="H4378" s="338" t="s">
        <v>336</v>
      </c>
      <c r="I4378" s="338" t="s">
        <v>411</v>
      </c>
      <c r="J4378" s="339"/>
      <c r="K4378" s="339"/>
      <c r="L4378" s="339" t="s">
        <v>409</v>
      </c>
      <c r="M4378" s="339" t="s">
        <v>409</v>
      </c>
      <c r="N4378" s="338" t="s">
        <v>417</v>
      </c>
      <c r="O4378" s="338" t="s">
        <v>409</v>
      </c>
      <c r="P4378" s="338" t="s">
        <v>605</v>
      </c>
    </row>
    <row r="4379" spans="2:16" x14ac:dyDescent="0.25">
      <c r="B4379" s="336" t="s">
        <v>416</v>
      </c>
      <c r="C4379" s="337">
        <v>38651</v>
      </c>
      <c r="D4379" s="338" t="s">
        <v>956</v>
      </c>
      <c r="E4379" s="336" t="s">
        <v>1129</v>
      </c>
      <c r="F4379" s="338" t="s">
        <v>1665</v>
      </c>
      <c r="G4379" s="338" t="s">
        <v>413</v>
      </c>
      <c r="H4379" s="338" t="s">
        <v>425</v>
      </c>
      <c r="I4379" s="338" t="s">
        <v>411</v>
      </c>
      <c r="J4379" s="339"/>
      <c r="K4379" s="339"/>
      <c r="L4379" s="339"/>
      <c r="M4379" s="339"/>
      <c r="N4379" s="338"/>
      <c r="O4379" s="338" t="s">
        <v>487</v>
      </c>
      <c r="P4379" s="338" t="s">
        <v>417</v>
      </c>
    </row>
    <row r="4380" spans="2:16" x14ac:dyDescent="0.25">
      <c r="B4380" s="336" t="s">
        <v>416</v>
      </c>
      <c r="C4380" s="337">
        <v>38650</v>
      </c>
      <c r="D4380" s="338" t="s">
        <v>1664</v>
      </c>
      <c r="E4380" s="336" t="s">
        <v>905</v>
      </c>
      <c r="F4380" s="338"/>
      <c r="G4380" s="338" t="s">
        <v>413</v>
      </c>
      <c r="H4380" s="338" t="s">
        <v>412</v>
      </c>
      <c r="I4380" s="338" t="s">
        <v>411</v>
      </c>
      <c r="J4380" s="339"/>
      <c r="K4380" s="339"/>
      <c r="L4380" s="339" t="s">
        <v>409</v>
      </c>
      <c r="M4380" s="339" t="s">
        <v>409</v>
      </c>
      <c r="N4380" s="338" t="s">
        <v>417</v>
      </c>
      <c r="O4380" s="338" t="s">
        <v>409</v>
      </c>
      <c r="P4380" s="338" t="s">
        <v>417</v>
      </c>
    </row>
    <row r="4381" spans="2:16" x14ac:dyDescent="0.25">
      <c r="B4381" s="336" t="s">
        <v>416</v>
      </c>
      <c r="C4381" s="337">
        <v>38649</v>
      </c>
      <c r="D4381" s="338" t="s">
        <v>1663</v>
      </c>
      <c r="E4381" s="336" t="s">
        <v>1662</v>
      </c>
      <c r="F4381" s="338" t="s">
        <v>1661</v>
      </c>
      <c r="G4381" s="338">
        <v>7.75</v>
      </c>
      <c r="H4381" s="338" t="s">
        <v>425</v>
      </c>
      <c r="I4381" s="338" t="s">
        <v>411</v>
      </c>
      <c r="J4381" s="339"/>
      <c r="K4381" s="339"/>
      <c r="L4381" s="339"/>
      <c r="M4381" s="339"/>
      <c r="N4381" s="338"/>
      <c r="O4381" s="338" t="s">
        <v>432</v>
      </c>
      <c r="P4381" s="338" t="s">
        <v>417</v>
      </c>
    </row>
    <row r="4382" spans="2:16" x14ac:dyDescent="0.25">
      <c r="B4382" s="336" t="s">
        <v>416</v>
      </c>
      <c r="C4382" s="337">
        <v>38649</v>
      </c>
      <c r="D4382" s="338" t="s">
        <v>1660</v>
      </c>
      <c r="E4382" s="336" t="s">
        <v>1659</v>
      </c>
      <c r="F4382" s="338"/>
      <c r="G4382" s="338">
        <v>57.9</v>
      </c>
      <c r="H4382" s="338" t="s">
        <v>429</v>
      </c>
      <c r="I4382" s="338" t="s">
        <v>411</v>
      </c>
      <c r="J4382" s="339"/>
      <c r="K4382" s="339"/>
      <c r="L4382" s="339" t="s">
        <v>409</v>
      </c>
      <c r="M4382" s="339" t="s">
        <v>409</v>
      </c>
      <c r="N4382" s="338" t="s">
        <v>443</v>
      </c>
      <c r="O4382" s="338" t="s">
        <v>409</v>
      </c>
      <c r="P4382" s="338" t="s">
        <v>417</v>
      </c>
    </row>
    <row r="4383" spans="2:16" x14ac:dyDescent="0.25">
      <c r="B4383" s="336" t="s">
        <v>416</v>
      </c>
      <c r="C4383" s="337">
        <v>38649</v>
      </c>
      <c r="D4383" s="338" t="s">
        <v>1658</v>
      </c>
      <c r="E4383" s="336" t="s">
        <v>1657</v>
      </c>
      <c r="F4383" s="338" t="s">
        <v>889</v>
      </c>
      <c r="G4383" s="338" t="s">
        <v>413</v>
      </c>
      <c r="H4383" s="338" t="s">
        <v>425</v>
      </c>
      <c r="I4383" s="338" t="s">
        <v>411</v>
      </c>
      <c r="J4383" s="339"/>
      <c r="K4383" s="339"/>
      <c r="L4383" s="339">
        <v>2.9470299999999998</v>
      </c>
      <c r="M4383" s="339">
        <v>13.790100000000001</v>
      </c>
      <c r="N4383" s="338"/>
      <c r="O4383" s="338" t="s">
        <v>410</v>
      </c>
      <c r="P4383" s="338" t="s">
        <v>410</v>
      </c>
    </row>
    <row r="4384" spans="2:16" x14ac:dyDescent="0.25">
      <c r="B4384" s="336" t="s">
        <v>416</v>
      </c>
      <c r="C4384" s="337">
        <v>38649</v>
      </c>
      <c r="D4384" s="338" t="s">
        <v>1656</v>
      </c>
      <c r="E4384" s="336" t="s">
        <v>1273</v>
      </c>
      <c r="F4384" s="338" t="s">
        <v>1056</v>
      </c>
      <c r="G4384" s="338" t="s">
        <v>413</v>
      </c>
      <c r="H4384" s="338" t="s">
        <v>412</v>
      </c>
      <c r="I4384" s="338" t="s">
        <v>411</v>
      </c>
      <c r="J4384" s="339"/>
      <c r="K4384" s="339"/>
      <c r="L4384" s="339">
        <v>0.24737100000000001</v>
      </c>
      <c r="M4384" s="339">
        <v>10.732799999999999</v>
      </c>
      <c r="N4384" s="338"/>
      <c r="O4384" s="338" t="s">
        <v>417</v>
      </c>
      <c r="P4384" s="338" t="s">
        <v>443</v>
      </c>
    </row>
    <row r="4385" spans="2:16" x14ac:dyDescent="0.25">
      <c r="B4385" s="336" t="s">
        <v>459</v>
      </c>
      <c r="C4385" s="337">
        <v>38645</v>
      </c>
      <c r="D4385" s="338" t="s">
        <v>1655</v>
      </c>
      <c r="E4385" s="336" t="s">
        <v>1654</v>
      </c>
      <c r="F4385" s="338"/>
      <c r="G4385" s="338" t="s">
        <v>413</v>
      </c>
      <c r="H4385" s="338" t="s">
        <v>412</v>
      </c>
      <c r="I4385" s="338" t="s">
        <v>411</v>
      </c>
      <c r="J4385" s="339"/>
      <c r="K4385" s="339"/>
      <c r="L4385" s="339" t="s">
        <v>409</v>
      </c>
      <c r="M4385" s="339" t="s">
        <v>409</v>
      </c>
      <c r="N4385" s="338" t="s">
        <v>417</v>
      </c>
      <c r="O4385" s="338" t="s">
        <v>409</v>
      </c>
      <c r="P4385" s="338" t="s">
        <v>605</v>
      </c>
    </row>
    <row r="4386" spans="2:16" x14ac:dyDescent="0.25">
      <c r="B4386" s="336" t="s">
        <v>416</v>
      </c>
      <c r="C4386" s="337">
        <v>38644</v>
      </c>
      <c r="D4386" s="338" t="s">
        <v>692</v>
      </c>
      <c r="E4386" s="336" t="s">
        <v>1653</v>
      </c>
      <c r="F4386" s="338"/>
      <c r="G4386" s="338" t="s">
        <v>413</v>
      </c>
      <c r="H4386" s="338" t="s">
        <v>425</v>
      </c>
      <c r="I4386" s="338" t="s">
        <v>411</v>
      </c>
      <c r="J4386" s="339"/>
      <c r="K4386" s="339"/>
      <c r="L4386" s="339" t="s">
        <v>409</v>
      </c>
      <c r="M4386" s="339" t="s">
        <v>409</v>
      </c>
      <c r="N4386" s="338"/>
      <c r="O4386" s="338" t="s">
        <v>409</v>
      </c>
      <c r="P4386" s="338" t="s">
        <v>543</v>
      </c>
    </row>
    <row r="4387" spans="2:16" x14ac:dyDescent="0.25">
      <c r="B4387" s="336" t="s">
        <v>416</v>
      </c>
      <c r="C4387" s="337">
        <v>38644</v>
      </c>
      <c r="D4387" s="338" t="s">
        <v>1652</v>
      </c>
      <c r="E4387" s="336" t="s">
        <v>468</v>
      </c>
      <c r="F4387" s="338" t="s">
        <v>1651</v>
      </c>
      <c r="G4387" s="338">
        <v>198</v>
      </c>
      <c r="H4387" s="338" t="s">
        <v>412</v>
      </c>
      <c r="I4387" s="338" t="s">
        <v>411</v>
      </c>
      <c r="J4387" s="339">
        <v>0.53448399999999996</v>
      </c>
      <c r="K4387" s="339">
        <v>4.7180799999999996</v>
      </c>
      <c r="L4387" s="339"/>
      <c r="M4387" s="339"/>
      <c r="N4387" s="338" t="s">
        <v>417</v>
      </c>
      <c r="O4387" s="338"/>
      <c r="P4387" s="338" t="s">
        <v>443</v>
      </c>
    </row>
    <row r="4388" spans="2:16" x14ac:dyDescent="0.25">
      <c r="B4388" s="336" t="s">
        <v>416</v>
      </c>
      <c r="C4388" s="337">
        <v>38644</v>
      </c>
      <c r="D4388" s="338" t="s">
        <v>1650</v>
      </c>
      <c r="E4388" s="336" t="s">
        <v>1649</v>
      </c>
      <c r="F4388" s="338"/>
      <c r="G4388" s="338" t="s">
        <v>413</v>
      </c>
      <c r="H4388" s="338" t="s">
        <v>412</v>
      </c>
      <c r="I4388" s="338" t="s">
        <v>411</v>
      </c>
      <c r="J4388" s="339"/>
      <c r="K4388" s="339"/>
      <c r="L4388" s="339" t="s">
        <v>409</v>
      </c>
      <c r="M4388" s="339" t="s">
        <v>409</v>
      </c>
      <c r="N4388" s="338" t="s">
        <v>417</v>
      </c>
      <c r="O4388" s="338" t="s">
        <v>409</v>
      </c>
      <c r="P4388" s="338" t="s">
        <v>408</v>
      </c>
    </row>
    <row r="4389" spans="2:16" x14ac:dyDescent="0.25">
      <c r="B4389" s="336" t="s">
        <v>416</v>
      </c>
      <c r="C4389" s="337">
        <v>38642</v>
      </c>
      <c r="D4389" s="338" t="s">
        <v>1648</v>
      </c>
      <c r="E4389" s="336" t="s">
        <v>1266</v>
      </c>
      <c r="F4389" s="338"/>
      <c r="G4389" s="338" t="s">
        <v>413</v>
      </c>
      <c r="H4389" s="338" t="s">
        <v>425</v>
      </c>
      <c r="I4389" s="338" t="s">
        <v>411</v>
      </c>
      <c r="J4389" s="339"/>
      <c r="K4389" s="339"/>
      <c r="L4389" s="339" t="s">
        <v>409</v>
      </c>
      <c r="M4389" s="339" t="s">
        <v>409</v>
      </c>
      <c r="N4389" s="338"/>
      <c r="O4389" s="338" t="s">
        <v>409</v>
      </c>
      <c r="P4389" s="338" t="s">
        <v>482</v>
      </c>
    </row>
    <row r="4390" spans="2:16" x14ac:dyDescent="0.25">
      <c r="B4390" s="336" t="s">
        <v>416</v>
      </c>
      <c r="C4390" s="337">
        <v>38642</v>
      </c>
      <c r="D4390" s="338" t="s">
        <v>1647</v>
      </c>
      <c r="E4390" s="336" t="s">
        <v>1619</v>
      </c>
      <c r="F4390" s="338" t="s">
        <v>1646</v>
      </c>
      <c r="G4390" s="338" t="s">
        <v>413</v>
      </c>
      <c r="H4390" s="338" t="s">
        <v>425</v>
      </c>
      <c r="I4390" s="338" t="s">
        <v>411</v>
      </c>
      <c r="J4390" s="339"/>
      <c r="K4390" s="339"/>
      <c r="L4390" s="339"/>
      <c r="M4390" s="339"/>
      <c r="N4390" s="338"/>
      <c r="O4390" s="338" t="s">
        <v>410</v>
      </c>
      <c r="P4390" s="338" t="s">
        <v>417</v>
      </c>
    </row>
    <row r="4391" spans="2:16" x14ac:dyDescent="0.25">
      <c r="B4391" s="336" t="s">
        <v>416</v>
      </c>
      <c r="C4391" s="337">
        <v>38638</v>
      </c>
      <c r="D4391" s="338" t="s">
        <v>1645</v>
      </c>
      <c r="E4391" s="336" t="s">
        <v>1644</v>
      </c>
      <c r="F4391" s="338"/>
      <c r="G4391" s="338">
        <v>49</v>
      </c>
      <c r="H4391" s="338" t="s">
        <v>425</v>
      </c>
      <c r="I4391" s="338" t="s">
        <v>411</v>
      </c>
      <c r="J4391" s="339"/>
      <c r="K4391" s="339"/>
      <c r="L4391" s="339" t="s">
        <v>409</v>
      </c>
      <c r="M4391" s="339" t="s">
        <v>409</v>
      </c>
      <c r="N4391" s="338" t="s">
        <v>417</v>
      </c>
      <c r="O4391" s="338" t="s">
        <v>409</v>
      </c>
      <c r="P4391" s="338" t="s">
        <v>432</v>
      </c>
    </row>
    <row r="4392" spans="2:16" x14ac:dyDescent="0.25">
      <c r="B4392" s="336" t="s">
        <v>416</v>
      </c>
      <c r="C4392" s="337">
        <v>38637</v>
      </c>
      <c r="D4392" s="338" t="s">
        <v>1643</v>
      </c>
      <c r="E4392" s="336" t="s">
        <v>1642</v>
      </c>
      <c r="F4392" s="338"/>
      <c r="G4392" s="338">
        <v>238.85</v>
      </c>
      <c r="H4392" s="338" t="s">
        <v>425</v>
      </c>
      <c r="I4392" s="338" t="s">
        <v>411</v>
      </c>
      <c r="J4392" s="339">
        <v>0.233602</v>
      </c>
      <c r="K4392" s="339">
        <v>18.601600000000001</v>
      </c>
      <c r="L4392" s="339" t="s">
        <v>409</v>
      </c>
      <c r="M4392" s="339" t="s">
        <v>409</v>
      </c>
      <c r="N4392" s="338" t="s">
        <v>417</v>
      </c>
      <c r="O4392" s="338" t="s">
        <v>409</v>
      </c>
      <c r="P4392" s="338" t="s">
        <v>443</v>
      </c>
    </row>
    <row r="4393" spans="2:16" x14ac:dyDescent="0.25">
      <c r="B4393" s="336" t="s">
        <v>416</v>
      </c>
      <c r="C4393" s="337">
        <v>38636</v>
      </c>
      <c r="D4393" s="338" t="s">
        <v>1641</v>
      </c>
      <c r="E4393" s="336" t="s">
        <v>1330</v>
      </c>
      <c r="F4393" s="338"/>
      <c r="G4393" s="338" t="s">
        <v>413</v>
      </c>
      <c r="H4393" s="338" t="s">
        <v>425</v>
      </c>
      <c r="I4393" s="338" t="s">
        <v>411</v>
      </c>
      <c r="J4393" s="339"/>
      <c r="K4393" s="339"/>
      <c r="L4393" s="339" t="s">
        <v>409</v>
      </c>
      <c r="M4393" s="339" t="s">
        <v>409</v>
      </c>
      <c r="N4393" s="338" t="s">
        <v>417</v>
      </c>
      <c r="O4393" s="338" t="s">
        <v>409</v>
      </c>
      <c r="P4393" s="338" t="s">
        <v>443</v>
      </c>
    </row>
    <row r="4394" spans="2:16" x14ac:dyDescent="0.25">
      <c r="B4394" s="336" t="s">
        <v>416</v>
      </c>
      <c r="C4394" s="337">
        <v>38635</v>
      </c>
      <c r="D4394" s="338" t="s">
        <v>1640</v>
      </c>
      <c r="E4394" s="336" t="s">
        <v>1639</v>
      </c>
      <c r="F4394" s="338"/>
      <c r="G4394" s="338" t="s">
        <v>413</v>
      </c>
      <c r="H4394" s="338" t="s">
        <v>412</v>
      </c>
      <c r="I4394" s="338" t="s">
        <v>411</v>
      </c>
      <c r="J4394" s="339"/>
      <c r="K4394" s="339"/>
      <c r="L4394" s="339" t="s">
        <v>409</v>
      </c>
      <c r="M4394" s="339" t="s">
        <v>409</v>
      </c>
      <c r="N4394" s="338" t="s">
        <v>417</v>
      </c>
      <c r="O4394" s="338" t="s">
        <v>409</v>
      </c>
      <c r="P4394" s="338" t="s">
        <v>487</v>
      </c>
    </row>
    <row r="4395" spans="2:16" x14ac:dyDescent="0.25">
      <c r="B4395" s="336" t="s">
        <v>459</v>
      </c>
      <c r="C4395" s="337">
        <v>38635</v>
      </c>
      <c r="D4395" s="338" t="s">
        <v>1638</v>
      </c>
      <c r="E4395" s="336" t="s">
        <v>1482</v>
      </c>
      <c r="F4395" s="338"/>
      <c r="G4395" s="338" t="s">
        <v>413</v>
      </c>
      <c r="H4395" s="338" t="s">
        <v>412</v>
      </c>
      <c r="I4395" s="338" t="s">
        <v>411</v>
      </c>
      <c r="J4395" s="339"/>
      <c r="K4395" s="339"/>
      <c r="L4395" s="339" t="s">
        <v>409</v>
      </c>
      <c r="M4395" s="339" t="s">
        <v>409</v>
      </c>
      <c r="N4395" s="338" t="s">
        <v>417</v>
      </c>
      <c r="O4395" s="338" t="s">
        <v>409</v>
      </c>
      <c r="P4395" s="338" t="s">
        <v>417</v>
      </c>
    </row>
    <row r="4396" spans="2:16" x14ac:dyDescent="0.25">
      <c r="B4396" s="336" t="s">
        <v>416</v>
      </c>
      <c r="C4396" s="337">
        <v>38635</v>
      </c>
      <c r="D4396" s="338" t="s">
        <v>1637</v>
      </c>
      <c r="E4396" s="336" t="s">
        <v>1456</v>
      </c>
      <c r="F4396" s="338"/>
      <c r="G4396" s="338" t="s">
        <v>413</v>
      </c>
      <c r="H4396" s="338" t="s">
        <v>412</v>
      </c>
      <c r="I4396" s="338" t="s">
        <v>411</v>
      </c>
      <c r="J4396" s="339"/>
      <c r="K4396" s="339"/>
      <c r="L4396" s="339" t="s">
        <v>409</v>
      </c>
      <c r="M4396" s="339" t="s">
        <v>409</v>
      </c>
      <c r="N4396" s="338" t="s">
        <v>417</v>
      </c>
      <c r="O4396" s="338" t="s">
        <v>409</v>
      </c>
      <c r="P4396" s="338" t="s">
        <v>410</v>
      </c>
    </row>
    <row r="4397" spans="2:16" x14ac:dyDescent="0.25">
      <c r="B4397" s="336" t="s">
        <v>416</v>
      </c>
      <c r="C4397" s="337">
        <v>38635</v>
      </c>
      <c r="D4397" s="338" t="s">
        <v>1636</v>
      </c>
      <c r="E4397" s="336" t="s">
        <v>1635</v>
      </c>
      <c r="F4397" s="338"/>
      <c r="G4397" s="338" t="s">
        <v>413</v>
      </c>
      <c r="H4397" s="338" t="s">
        <v>412</v>
      </c>
      <c r="I4397" s="338" t="s">
        <v>411</v>
      </c>
      <c r="J4397" s="339"/>
      <c r="K4397" s="339"/>
      <c r="L4397" s="339" t="s">
        <v>409</v>
      </c>
      <c r="M4397" s="339" t="s">
        <v>409</v>
      </c>
      <c r="N4397" s="338" t="s">
        <v>417</v>
      </c>
      <c r="O4397" s="338" t="s">
        <v>409</v>
      </c>
      <c r="P4397" s="338" t="s">
        <v>487</v>
      </c>
    </row>
    <row r="4398" spans="2:16" x14ac:dyDescent="0.25">
      <c r="B4398" s="336" t="s">
        <v>416</v>
      </c>
      <c r="C4398" s="337">
        <v>38632</v>
      </c>
      <c r="D4398" s="338" t="s">
        <v>1634</v>
      </c>
      <c r="E4398" s="336" t="s">
        <v>1633</v>
      </c>
      <c r="F4398" s="338" t="s">
        <v>1632</v>
      </c>
      <c r="G4398" s="338">
        <v>4.7</v>
      </c>
      <c r="H4398" s="338" t="s">
        <v>336</v>
      </c>
      <c r="I4398" s="338" t="s">
        <v>411</v>
      </c>
      <c r="J4398" s="339"/>
      <c r="K4398" s="339"/>
      <c r="L4398" s="339"/>
      <c r="M4398" s="339"/>
      <c r="N4398" s="338" t="s">
        <v>417</v>
      </c>
      <c r="O4398" s="338" t="s">
        <v>417</v>
      </c>
      <c r="P4398" s="338" t="s">
        <v>410</v>
      </c>
    </row>
    <row r="4399" spans="2:16" x14ac:dyDescent="0.25">
      <c r="B4399" s="336" t="s">
        <v>459</v>
      </c>
      <c r="C4399" s="337">
        <v>38632</v>
      </c>
      <c r="D4399" s="338" t="s">
        <v>1631</v>
      </c>
      <c r="E4399" s="336" t="s">
        <v>677</v>
      </c>
      <c r="F4399" s="338" t="s">
        <v>672</v>
      </c>
      <c r="G4399" s="338">
        <v>58.7</v>
      </c>
      <c r="H4399" s="338" t="s">
        <v>425</v>
      </c>
      <c r="I4399" s="338" t="s">
        <v>411</v>
      </c>
      <c r="J4399" s="339">
        <v>0.53438699999999995</v>
      </c>
      <c r="K4399" s="339">
        <v>6.7527699999999999</v>
      </c>
      <c r="L4399" s="339">
        <v>0.20780999999999999</v>
      </c>
      <c r="M4399" s="339"/>
      <c r="N4399" s="338" t="s">
        <v>417</v>
      </c>
      <c r="O4399" s="338" t="s">
        <v>417</v>
      </c>
      <c r="P4399" s="338" t="s">
        <v>443</v>
      </c>
    </row>
    <row r="4400" spans="2:16" x14ac:dyDescent="0.25">
      <c r="B4400" s="336" t="s">
        <v>416</v>
      </c>
      <c r="C4400" s="337">
        <v>38631</v>
      </c>
      <c r="D4400" s="338" t="s">
        <v>1630</v>
      </c>
      <c r="E4400" s="336" t="s">
        <v>1026</v>
      </c>
      <c r="F4400" s="338"/>
      <c r="G4400" s="338">
        <v>9.5</v>
      </c>
      <c r="H4400" s="338" t="s">
        <v>425</v>
      </c>
      <c r="I4400" s="338" t="s">
        <v>411</v>
      </c>
      <c r="J4400" s="339"/>
      <c r="K4400" s="339"/>
      <c r="L4400" s="339" t="s">
        <v>409</v>
      </c>
      <c r="M4400" s="339" t="s">
        <v>409</v>
      </c>
      <c r="N4400" s="338"/>
      <c r="O4400" s="338" t="s">
        <v>409</v>
      </c>
      <c r="P4400" s="338" t="s">
        <v>443</v>
      </c>
    </row>
    <row r="4401" spans="2:16" x14ac:dyDescent="0.25">
      <c r="B4401" s="336" t="s">
        <v>416</v>
      </c>
      <c r="C4401" s="337">
        <v>38631</v>
      </c>
      <c r="D4401" s="338" t="s">
        <v>1629</v>
      </c>
      <c r="E4401" s="336" t="s">
        <v>477</v>
      </c>
      <c r="F4401" s="338" t="s">
        <v>1628</v>
      </c>
      <c r="G4401" s="338">
        <v>3.4</v>
      </c>
      <c r="H4401" s="338" t="s">
        <v>425</v>
      </c>
      <c r="I4401" s="338" t="s">
        <v>411</v>
      </c>
      <c r="J4401" s="339"/>
      <c r="K4401" s="339"/>
      <c r="L4401" s="339"/>
      <c r="M4401" s="339"/>
      <c r="N4401" s="338"/>
      <c r="O4401" s="338" t="s">
        <v>417</v>
      </c>
      <c r="P4401" s="338" t="s">
        <v>417</v>
      </c>
    </row>
    <row r="4402" spans="2:16" x14ac:dyDescent="0.25">
      <c r="B4402" s="336" t="s">
        <v>416</v>
      </c>
      <c r="C4402" s="337">
        <v>38630</v>
      </c>
      <c r="D4402" s="338" t="s">
        <v>1627</v>
      </c>
      <c r="E4402" s="336" t="s">
        <v>656</v>
      </c>
      <c r="F4402" s="338"/>
      <c r="G4402" s="338" t="s">
        <v>413</v>
      </c>
      <c r="H4402" s="338" t="s">
        <v>412</v>
      </c>
      <c r="I4402" s="338" t="s">
        <v>411</v>
      </c>
      <c r="J4402" s="339"/>
      <c r="K4402" s="339"/>
      <c r="L4402" s="339" t="s">
        <v>409</v>
      </c>
      <c r="M4402" s="339" t="s">
        <v>409</v>
      </c>
      <c r="N4402" s="338" t="s">
        <v>417</v>
      </c>
      <c r="O4402" s="338" t="s">
        <v>409</v>
      </c>
      <c r="P4402" s="338" t="s">
        <v>408</v>
      </c>
    </row>
    <row r="4403" spans="2:16" x14ac:dyDescent="0.25">
      <c r="B4403" s="336" t="s">
        <v>416</v>
      </c>
      <c r="C4403" s="337">
        <v>38630</v>
      </c>
      <c r="D4403" s="338" t="s">
        <v>1626</v>
      </c>
      <c r="E4403" s="336" t="s">
        <v>1625</v>
      </c>
      <c r="F4403" s="338" t="s">
        <v>1624</v>
      </c>
      <c r="G4403" s="338">
        <v>9</v>
      </c>
      <c r="H4403" s="338" t="s">
        <v>425</v>
      </c>
      <c r="I4403" s="338" t="s">
        <v>411</v>
      </c>
      <c r="J4403" s="339"/>
      <c r="K4403" s="339"/>
      <c r="L4403" s="339"/>
      <c r="M4403" s="339"/>
      <c r="N4403" s="338"/>
      <c r="O4403" s="338" t="s">
        <v>417</v>
      </c>
      <c r="P4403" s="338" t="s">
        <v>417</v>
      </c>
    </row>
    <row r="4404" spans="2:16" x14ac:dyDescent="0.25">
      <c r="B4404" s="336" t="s">
        <v>416</v>
      </c>
      <c r="C4404" s="337">
        <v>38629</v>
      </c>
      <c r="D4404" s="338" t="s">
        <v>1623</v>
      </c>
      <c r="E4404" s="336" t="s">
        <v>669</v>
      </c>
      <c r="F4404" s="338" t="s">
        <v>1452</v>
      </c>
      <c r="G4404" s="338" t="s">
        <v>413</v>
      </c>
      <c r="H4404" s="338" t="s">
        <v>425</v>
      </c>
      <c r="I4404" s="338" t="s">
        <v>411</v>
      </c>
      <c r="J4404" s="339"/>
      <c r="K4404" s="339"/>
      <c r="L4404" s="339">
        <v>1.55704</v>
      </c>
      <c r="M4404" s="339"/>
      <c r="N4404" s="338"/>
      <c r="O4404" s="338" t="s">
        <v>417</v>
      </c>
      <c r="P4404" s="338"/>
    </row>
    <row r="4405" spans="2:16" x14ac:dyDescent="0.25">
      <c r="B4405" s="336" t="s">
        <v>416</v>
      </c>
      <c r="C4405" s="337">
        <v>38629</v>
      </c>
      <c r="D4405" s="338" t="s">
        <v>1622</v>
      </c>
      <c r="E4405" s="336" t="s">
        <v>1621</v>
      </c>
      <c r="F4405" s="338"/>
      <c r="G4405" s="338">
        <v>114.5</v>
      </c>
      <c r="H4405" s="338" t="s">
        <v>425</v>
      </c>
      <c r="I4405" s="338" t="s">
        <v>411</v>
      </c>
      <c r="J4405" s="339"/>
      <c r="K4405" s="339"/>
      <c r="L4405" s="339" t="s">
        <v>409</v>
      </c>
      <c r="M4405" s="339" t="s">
        <v>409</v>
      </c>
      <c r="N4405" s="338"/>
      <c r="O4405" s="338" t="s">
        <v>409</v>
      </c>
      <c r="P4405" s="338" t="s">
        <v>417</v>
      </c>
    </row>
    <row r="4406" spans="2:16" x14ac:dyDescent="0.25">
      <c r="B4406" s="336" t="s">
        <v>416</v>
      </c>
      <c r="C4406" s="337">
        <v>38629</v>
      </c>
      <c r="D4406" s="338" t="s">
        <v>1620</v>
      </c>
      <c r="E4406" s="336" t="s">
        <v>1619</v>
      </c>
      <c r="F4406" s="338"/>
      <c r="G4406" s="338" t="s">
        <v>413</v>
      </c>
      <c r="H4406" s="338" t="s">
        <v>412</v>
      </c>
      <c r="I4406" s="338" t="s">
        <v>411</v>
      </c>
      <c r="J4406" s="339"/>
      <c r="K4406" s="339"/>
      <c r="L4406" s="339" t="s">
        <v>409</v>
      </c>
      <c r="M4406" s="339" t="s">
        <v>409</v>
      </c>
      <c r="N4406" s="338" t="s">
        <v>410</v>
      </c>
      <c r="O4406" s="338" t="s">
        <v>409</v>
      </c>
      <c r="P4406" s="338" t="s">
        <v>417</v>
      </c>
    </row>
    <row r="4407" spans="2:16" x14ac:dyDescent="0.25">
      <c r="B4407" s="336" t="s">
        <v>416</v>
      </c>
      <c r="C4407" s="337">
        <v>38629</v>
      </c>
      <c r="D4407" s="338" t="s">
        <v>1618</v>
      </c>
      <c r="E4407" s="336" t="s">
        <v>1617</v>
      </c>
      <c r="F4407" s="338"/>
      <c r="G4407" s="338" t="s">
        <v>413</v>
      </c>
      <c r="H4407" s="338" t="s">
        <v>412</v>
      </c>
      <c r="I4407" s="338" t="s">
        <v>411</v>
      </c>
      <c r="J4407" s="339"/>
      <c r="K4407" s="339"/>
      <c r="L4407" s="339" t="s">
        <v>409</v>
      </c>
      <c r="M4407" s="339" t="s">
        <v>409</v>
      </c>
      <c r="N4407" s="338"/>
      <c r="O4407" s="338" t="s">
        <v>409</v>
      </c>
      <c r="P4407" s="338" t="s">
        <v>417</v>
      </c>
    </row>
    <row r="4408" spans="2:16" x14ac:dyDescent="0.25">
      <c r="B4408" s="336" t="s">
        <v>416</v>
      </c>
      <c r="C4408" s="337">
        <v>38629</v>
      </c>
      <c r="D4408" s="338" t="s">
        <v>1616</v>
      </c>
      <c r="E4408" s="336" t="s">
        <v>1615</v>
      </c>
      <c r="F4408" s="338"/>
      <c r="G4408" s="338" t="s">
        <v>413</v>
      </c>
      <c r="H4408" s="338" t="s">
        <v>425</v>
      </c>
      <c r="I4408" s="338" t="s">
        <v>411</v>
      </c>
      <c r="J4408" s="339"/>
      <c r="K4408" s="339"/>
      <c r="L4408" s="339" t="s">
        <v>409</v>
      </c>
      <c r="M4408" s="339" t="s">
        <v>409</v>
      </c>
      <c r="N4408" s="338" t="s">
        <v>612</v>
      </c>
      <c r="O4408" s="338" t="s">
        <v>409</v>
      </c>
      <c r="P4408" s="338" t="s">
        <v>443</v>
      </c>
    </row>
    <row r="4409" spans="2:16" x14ac:dyDescent="0.25">
      <c r="B4409" s="336" t="s">
        <v>416</v>
      </c>
      <c r="C4409" s="337">
        <v>38629</v>
      </c>
      <c r="D4409" s="338" t="s">
        <v>1614</v>
      </c>
      <c r="E4409" s="336" t="s">
        <v>656</v>
      </c>
      <c r="F4409" s="338"/>
      <c r="G4409" s="338" t="s">
        <v>413</v>
      </c>
      <c r="H4409" s="338" t="s">
        <v>412</v>
      </c>
      <c r="I4409" s="338" t="s">
        <v>411</v>
      </c>
      <c r="J4409" s="339"/>
      <c r="K4409" s="339"/>
      <c r="L4409" s="339" t="s">
        <v>409</v>
      </c>
      <c r="M4409" s="339" t="s">
        <v>409</v>
      </c>
      <c r="N4409" s="338" t="s">
        <v>417</v>
      </c>
      <c r="O4409" s="338" t="s">
        <v>409</v>
      </c>
      <c r="P4409" s="338" t="s">
        <v>408</v>
      </c>
    </row>
    <row r="4410" spans="2:16" x14ac:dyDescent="0.25">
      <c r="B4410" s="336" t="s">
        <v>416</v>
      </c>
      <c r="C4410" s="337">
        <v>38629</v>
      </c>
      <c r="D4410" s="338" t="s">
        <v>1613</v>
      </c>
      <c r="E4410" s="336" t="s">
        <v>1612</v>
      </c>
      <c r="F4410" s="338" t="s">
        <v>1583</v>
      </c>
      <c r="G4410" s="338">
        <v>311.51</v>
      </c>
      <c r="H4410" s="338" t="s">
        <v>425</v>
      </c>
      <c r="I4410" s="338" t="s">
        <v>411</v>
      </c>
      <c r="J4410" s="339"/>
      <c r="K4410" s="339"/>
      <c r="L4410" s="339">
        <v>1.51874</v>
      </c>
      <c r="M4410" s="339">
        <v>10.3505</v>
      </c>
      <c r="N4410" s="338" t="s">
        <v>417</v>
      </c>
      <c r="O4410" s="338" t="s">
        <v>417</v>
      </c>
      <c r="P4410" s="338" t="s">
        <v>443</v>
      </c>
    </row>
    <row r="4411" spans="2:16" x14ac:dyDescent="0.25">
      <c r="B4411" s="336" t="s">
        <v>416</v>
      </c>
      <c r="C4411" s="337">
        <v>38629</v>
      </c>
      <c r="D4411" s="338" t="s">
        <v>1611</v>
      </c>
      <c r="E4411" s="336" t="s">
        <v>905</v>
      </c>
      <c r="F4411" s="338"/>
      <c r="G4411" s="338" t="s">
        <v>413</v>
      </c>
      <c r="H4411" s="338" t="s">
        <v>412</v>
      </c>
      <c r="I4411" s="338" t="s">
        <v>411</v>
      </c>
      <c r="J4411" s="339"/>
      <c r="K4411" s="339"/>
      <c r="L4411" s="339" t="s">
        <v>409</v>
      </c>
      <c r="M4411" s="339" t="s">
        <v>409</v>
      </c>
      <c r="N4411" s="338"/>
      <c r="O4411" s="338" t="s">
        <v>409</v>
      </c>
      <c r="P4411" s="338" t="s">
        <v>417</v>
      </c>
    </row>
    <row r="4412" spans="2:16" x14ac:dyDescent="0.25">
      <c r="B4412" s="336" t="s">
        <v>416</v>
      </c>
      <c r="C4412" s="337">
        <v>38628</v>
      </c>
      <c r="D4412" s="338" t="s">
        <v>1610</v>
      </c>
      <c r="E4412" s="336" t="s">
        <v>656</v>
      </c>
      <c r="F4412" s="338"/>
      <c r="G4412" s="338" t="s">
        <v>413</v>
      </c>
      <c r="H4412" s="338" t="s">
        <v>412</v>
      </c>
      <c r="I4412" s="338" t="s">
        <v>411</v>
      </c>
      <c r="J4412" s="339"/>
      <c r="K4412" s="339"/>
      <c r="L4412" s="339" t="s">
        <v>409</v>
      </c>
      <c r="M4412" s="339" t="s">
        <v>409</v>
      </c>
      <c r="N4412" s="338" t="s">
        <v>417</v>
      </c>
      <c r="O4412" s="338" t="s">
        <v>409</v>
      </c>
      <c r="P4412" s="338" t="s">
        <v>408</v>
      </c>
    </row>
    <row r="4413" spans="2:16" x14ac:dyDescent="0.25">
      <c r="B4413" s="336" t="s">
        <v>416</v>
      </c>
      <c r="C4413" s="337">
        <v>38628</v>
      </c>
      <c r="D4413" s="338" t="s">
        <v>1403</v>
      </c>
      <c r="E4413" s="336" t="s">
        <v>468</v>
      </c>
      <c r="F4413" s="338"/>
      <c r="G4413" s="338">
        <v>1136.32</v>
      </c>
      <c r="H4413" s="338" t="s">
        <v>425</v>
      </c>
      <c r="I4413" s="338" t="s">
        <v>411</v>
      </c>
      <c r="J4413" s="339">
        <v>0.37032799999999999</v>
      </c>
      <c r="K4413" s="339">
        <v>6.0799500000000002</v>
      </c>
      <c r="L4413" s="339" t="s">
        <v>409</v>
      </c>
      <c r="M4413" s="339" t="s">
        <v>409</v>
      </c>
      <c r="N4413" s="338" t="s">
        <v>417</v>
      </c>
      <c r="O4413" s="338" t="s">
        <v>409</v>
      </c>
      <c r="P4413" s="338" t="s">
        <v>443</v>
      </c>
    </row>
    <row r="4414" spans="2:16" x14ac:dyDescent="0.25">
      <c r="B4414" s="336" t="s">
        <v>416</v>
      </c>
      <c r="C4414" s="337">
        <v>38628</v>
      </c>
      <c r="D4414" s="338" t="s">
        <v>1609</v>
      </c>
      <c r="E4414" s="336" t="s">
        <v>1452</v>
      </c>
      <c r="F4414" s="338"/>
      <c r="G4414" s="338" t="s">
        <v>413</v>
      </c>
      <c r="H4414" s="338" t="s">
        <v>425</v>
      </c>
      <c r="I4414" s="338" t="s">
        <v>411</v>
      </c>
      <c r="J4414" s="339"/>
      <c r="K4414" s="339"/>
      <c r="L4414" s="339" t="s">
        <v>409</v>
      </c>
      <c r="M4414" s="339" t="s">
        <v>409</v>
      </c>
      <c r="N4414" s="338"/>
      <c r="O4414" s="338" t="s">
        <v>409</v>
      </c>
      <c r="P4414" s="338" t="s">
        <v>417</v>
      </c>
    </row>
    <row r="4415" spans="2:16" x14ac:dyDescent="0.25">
      <c r="B4415" s="336" t="s">
        <v>416</v>
      </c>
      <c r="C4415" s="337">
        <v>38628</v>
      </c>
      <c r="D4415" s="338" t="s">
        <v>1608</v>
      </c>
      <c r="E4415" s="336" t="s">
        <v>819</v>
      </c>
      <c r="F4415" s="338"/>
      <c r="G4415" s="338">
        <v>22.5</v>
      </c>
      <c r="H4415" s="338" t="s">
        <v>425</v>
      </c>
      <c r="I4415" s="338" t="s">
        <v>411</v>
      </c>
      <c r="J4415" s="339"/>
      <c r="K4415" s="339"/>
      <c r="L4415" s="339" t="s">
        <v>409</v>
      </c>
      <c r="M4415" s="339" t="s">
        <v>409</v>
      </c>
      <c r="N4415" s="338" t="s">
        <v>417</v>
      </c>
      <c r="O4415" s="338" t="s">
        <v>409</v>
      </c>
      <c r="P4415" s="338" t="s">
        <v>482</v>
      </c>
    </row>
    <row r="4416" spans="2:16" x14ac:dyDescent="0.25">
      <c r="B4416" s="336" t="s">
        <v>416</v>
      </c>
      <c r="C4416" s="337">
        <v>38625</v>
      </c>
      <c r="D4416" s="338" t="s">
        <v>1607</v>
      </c>
      <c r="E4416" s="336" t="s">
        <v>1598</v>
      </c>
      <c r="F4416" s="338"/>
      <c r="G4416" s="338">
        <v>4.8</v>
      </c>
      <c r="H4416" s="338" t="s">
        <v>425</v>
      </c>
      <c r="I4416" s="338" t="s">
        <v>411</v>
      </c>
      <c r="J4416" s="339"/>
      <c r="K4416" s="339"/>
      <c r="L4416" s="339" t="s">
        <v>409</v>
      </c>
      <c r="M4416" s="339" t="s">
        <v>409</v>
      </c>
      <c r="N4416" s="338"/>
      <c r="O4416" s="338" t="s">
        <v>409</v>
      </c>
      <c r="P4416" s="338" t="s">
        <v>443</v>
      </c>
    </row>
    <row r="4417" spans="2:16" x14ac:dyDescent="0.25">
      <c r="B4417" s="336" t="s">
        <v>416</v>
      </c>
      <c r="C4417" s="337">
        <v>38625</v>
      </c>
      <c r="D4417" s="338" t="s">
        <v>1606</v>
      </c>
      <c r="E4417" s="336" t="s">
        <v>1605</v>
      </c>
      <c r="F4417" s="338"/>
      <c r="G4417" s="338" t="s">
        <v>413</v>
      </c>
      <c r="H4417" s="338" t="s">
        <v>412</v>
      </c>
      <c r="I4417" s="338" t="s">
        <v>411</v>
      </c>
      <c r="J4417" s="339"/>
      <c r="K4417" s="339"/>
      <c r="L4417" s="339" t="s">
        <v>409</v>
      </c>
      <c r="M4417" s="339" t="s">
        <v>409</v>
      </c>
      <c r="N4417" s="338" t="s">
        <v>417</v>
      </c>
      <c r="O4417" s="338" t="s">
        <v>409</v>
      </c>
      <c r="P4417" s="338" t="s">
        <v>417</v>
      </c>
    </row>
    <row r="4418" spans="2:16" x14ac:dyDescent="0.25">
      <c r="B4418" s="336" t="s">
        <v>416</v>
      </c>
      <c r="C4418" s="337">
        <v>38624</v>
      </c>
      <c r="D4418" s="338" t="s">
        <v>1604</v>
      </c>
      <c r="E4418" s="336" t="s">
        <v>1603</v>
      </c>
      <c r="F4418" s="338" t="s">
        <v>1602</v>
      </c>
      <c r="G4418" s="338">
        <v>382.5</v>
      </c>
      <c r="H4418" s="338" t="s">
        <v>425</v>
      </c>
      <c r="I4418" s="338" t="s">
        <v>411</v>
      </c>
      <c r="J4418" s="339"/>
      <c r="K4418" s="339"/>
      <c r="L4418" s="339"/>
      <c r="M4418" s="339"/>
      <c r="N4418" s="338" t="s">
        <v>417</v>
      </c>
      <c r="O4418" s="338" t="s">
        <v>443</v>
      </c>
      <c r="P4418" s="338" t="s">
        <v>443</v>
      </c>
    </row>
    <row r="4419" spans="2:16" x14ac:dyDescent="0.25">
      <c r="B4419" s="336" t="s">
        <v>416</v>
      </c>
      <c r="C4419" s="337">
        <v>38624</v>
      </c>
      <c r="D4419" s="338" t="s">
        <v>1601</v>
      </c>
      <c r="E4419" s="336" t="s">
        <v>1600</v>
      </c>
      <c r="F4419" s="338" t="s">
        <v>1464</v>
      </c>
      <c r="G4419" s="338">
        <v>221.8</v>
      </c>
      <c r="H4419" s="338" t="s">
        <v>425</v>
      </c>
      <c r="I4419" s="338" t="s">
        <v>411</v>
      </c>
      <c r="J4419" s="339"/>
      <c r="K4419" s="339"/>
      <c r="L4419" s="339"/>
      <c r="M4419" s="339"/>
      <c r="N4419" s="338"/>
      <c r="O4419" s="338" t="s">
        <v>417</v>
      </c>
      <c r="P4419" s="338" t="s">
        <v>443</v>
      </c>
    </row>
    <row r="4420" spans="2:16" x14ac:dyDescent="0.25">
      <c r="B4420" s="336" t="s">
        <v>416</v>
      </c>
      <c r="C4420" s="337">
        <v>38624</v>
      </c>
      <c r="D4420" s="338" t="s">
        <v>1599</v>
      </c>
      <c r="E4420" s="336" t="s">
        <v>1598</v>
      </c>
      <c r="F4420" s="338"/>
      <c r="G4420" s="338">
        <v>10.9</v>
      </c>
      <c r="H4420" s="338" t="s">
        <v>425</v>
      </c>
      <c r="I4420" s="338" t="s">
        <v>411</v>
      </c>
      <c r="J4420" s="339"/>
      <c r="K4420" s="339"/>
      <c r="L4420" s="339" t="s">
        <v>409</v>
      </c>
      <c r="M4420" s="339" t="s">
        <v>409</v>
      </c>
      <c r="N4420" s="338"/>
      <c r="O4420" s="338" t="s">
        <v>409</v>
      </c>
      <c r="P4420" s="338" t="s">
        <v>443</v>
      </c>
    </row>
    <row r="4421" spans="2:16" x14ac:dyDescent="0.25">
      <c r="B4421" s="336" t="s">
        <v>416</v>
      </c>
      <c r="C4421" s="337">
        <v>38624</v>
      </c>
      <c r="D4421" s="338" t="s">
        <v>1597</v>
      </c>
      <c r="E4421" s="336" t="s">
        <v>1596</v>
      </c>
      <c r="F4421" s="338"/>
      <c r="G4421" s="338" t="s">
        <v>413</v>
      </c>
      <c r="H4421" s="338" t="s">
        <v>336</v>
      </c>
      <c r="I4421" s="338" t="s">
        <v>411</v>
      </c>
      <c r="J4421" s="339"/>
      <c r="K4421" s="339"/>
      <c r="L4421" s="339" t="s">
        <v>409</v>
      </c>
      <c r="M4421" s="339" t="s">
        <v>409</v>
      </c>
      <c r="N4421" s="338" t="s">
        <v>417</v>
      </c>
      <c r="O4421" s="338" t="s">
        <v>409</v>
      </c>
      <c r="P4421" s="338" t="s">
        <v>487</v>
      </c>
    </row>
    <row r="4422" spans="2:16" x14ac:dyDescent="0.25">
      <c r="B4422" s="336" t="s">
        <v>416</v>
      </c>
      <c r="C4422" s="337">
        <v>38624</v>
      </c>
      <c r="D4422" s="338" t="s">
        <v>1595</v>
      </c>
      <c r="E4422" s="336" t="s">
        <v>1594</v>
      </c>
      <c r="F4422" s="338" t="s">
        <v>1593</v>
      </c>
      <c r="G4422" s="338">
        <v>0.06</v>
      </c>
      <c r="H4422" s="338" t="s">
        <v>425</v>
      </c>
      <c r="I4422" s="338" t="s">
        <v>411</v>
      </c>
      <c r="J4422" s="339"/>
      <c r="K4422" s="339"/>
      <c r="L4422" s="339"/>
      <c r="M4422" s="339"/>
      <c r="N4422" s="338" t="s">
        <v>417</v>
      </c>
      <c r="O4422" s="338" t="s">
        <v>417</v>
      </c>
      <c r="P4422" s="338" t="s">
        <v>410</v>
      </c>
    </row>
    <row r="4423" spans="2:16" x14ac:dyDescent="0.25">
      <c r="B4423" s="336" t="s">
        <v>416</v>
      </c>
      <c r="C4423" s="337">
        <v>38624</v>
      </c>
      <c r="D4423" s="338" t="s">
        <v>1592</v>
      </c>
      <c r="E4423" s="336" t="s">
        <v>1096</v>
      </c>
      <c r="F4423" s="338" t="s">
        <v>1591</v>
      </c>
      <c r="G4423" s="338">
        <v>350</v>
      </c>
      <c r="H4423" s="338" t="s">
        <v>425</v>
      </c>
      <c r="I4423" s="338" t="s">
        <v>411</v>
      </c>
      <c r="J4423" s="339"/>
      <c r="K4423" s="339"/>
      <c r="L4423" s="339"/>
      <c r="M4423" s="339"/>
      <c r="N4423" s="338" t="s">
        <v>482</v>
      </c>
      <c r="O4423" s="338" t="s">
        <v>443</v>
      </c>
      <c r="P4423" s="338" t="s">
        <v>417</v>
      </c>
    </row>
    <row r="4424" spans="2:16" x14ac:dyDescent="0.25">
      <c r="B4424" s="336" t="s">
        <v>416</v>
      </c>
      <c r="C4424" s="337">
        <v>38623</v>
      </c>
      <c r="D4424" s="338" t="s">
        <v>956</v>
      </c>
      <c r="E4424" s="336" t="s">
        <v>477</v>
      </c>
      <c r="F4424" s="338" t="s">
        <v>1590</v>
      </c>
      <c r="G4424" s="338">
        <v>3.4</v>
      </c>
      <c r="H4424" s="338" t="s">
        <v>425</v>
      </c>
      <c r="I4424" s="338" t="s">
        <v>411</v>
      </c>
      <c r="J4424" s="339"/>
      <c r="K4424" s="339"/>
      <c r="L4424" s="339"/>
      <c r="M4424" s="339"/>
      <c r="N4424" s="338"/>
      <c r="O4424" s="338" t="s">
        <v>417</v>
      </c>
      <c r="P4424" s="338" t="s">
        <v>417</v>
      </c>
    </row>
    <row r="4425" spans="2:16" x14ac:dyDescent="0.25">
      <c r="B4425" s="336" t="s">
        <v>416</v>
      </c>
      <c r="C4425" s="337">
        <v>38623</v>
      </c>
      <c r="D4425" s="338" t="s">
        <v>1589</v>
      </c>
      <c r="E4425" s="336" t="s">
        <v>666</v>
      </c>
      <c r="F4425" s="338" t="s">
        <v>1588</v>
      </c>
      <c r="G4425" s="338" t="s">
        <v>413</v>
      </c>
      <c r="H4425" s="338" t="s">
        <v>425</v>
      </c>
      <c r="I4425" s="338" t="s">
        <v>411</v>
      </c>
      <c r="J4425" s="339"/>
      <c r="K4425" s="339"/>
      <c r="L4425" s="339"/>
      <c r="M4425" s="339"/>
      <c r="N4425" s="338" t="s">
        <v>417</v>
      </c>
      <c r="O4425" s="338" t="s">
        <v>443</v>
      </c>
      <c r="P4425" s="338" t="s">
        <v>443</v>
      </c>
    </row>
    <row r="4426" spans="2:16" x14ac:dyDescent="0.25">
      <c r="B4426" s="336" t="s">
        <v>416</v>
      </c>
      <c r="C4426" s="337">
        <v>38623</v>
      </c>
      <c r="D4426" s="338" t="s">
        <v>1587</v>
      </c>
      <c r="E4426" s="336" t="s">
        <v>1586</v>
      </c>
      <c r="F4426" s="338" t="s">
        <v>1585</v>
      </c>
      <c r="G4426" s="338">
        <v>115</v>
      </c>
      <c r="H4426" s="338" t="s">
        <v>425</v>
      </c>
      <c r="I4426" s="338" t="s">
        <v>411</v>
      </c>
      <c r="J4426" s="339"/>
      <c r="K4426" s="339"/>
      <c r="L4426" s="339"/>
      <c r="M4426" s="339"/>
      <c r="N4426" s="338" t="s">
        <v>417</v>
      </c>
      <c r="O4426" s="338" t="s">
        <v>443</v>
      </c>
      <c r="P4426" s="338" t="s">
        <v>410</v>
      </c>
    </row>
    <row r="4427" spans="2:16" x14ac:dyDescent="0.25">
      <c r="B4427" s="336" t="s">
        <v>416</v>
      </c>
      <c r="C4427" s="337">
        <v>38623</v>
      </c>
      <c r="D4427" s="338" t="s">
        <v>1584</v>
      </c>
      <c r="E4427" s="336" t="s">
        <v>669</v>
      </c>
      <c r="F4427" s="338" t="s">
        <v>1583</v>
      </c>
      <c r="G4427" s="338">
        <v>25</v>
      </c>
      <c r="H4427" s="338" t="s">
        <v>425</v>
      </c>
      <c r="I4427" s="338" t="s">
        <v>411</v>
      </c>
      <c r="J4427" s="339"/>
      <c r="K4427" s="339"/>
      <c r="L4427" s="339">
        <v>1.51874</v>
      </c>
      <c r="M4427" s="339">
        <v>10.3505</v>
      </c>
      <c r="N4427" s="338"/>
      <c r="O4427" s="338" t="s">
        <v>417</v>
      </c>
      <c r="P4427" s="338"/>
    </row>
    <row r="4428" spans="2:16" x14ac:dyDescent="0.25">
      <c r="B4428" s="336" t="s">
        <v>416</v>
      </c>
      <c r="C4428" s="337">
        <v>38623</v>
      </c>
      <c r="D4428" s="338" t="s">
        <v>1582</v>
      </c>
      <c r="E4428" s="336" t="s">
        <v>1371</v>
      </c>
      <c r="F4428" s="338"/>
      <c r="G4428" s="338" t="s">
        <v>413</v>
      </c>
      <c r="H4428" s="338" t="s">
        <v>412</v>
      </c>
      <c r="I4428" s="338" t="s">
        <v>411</v>
      </c>
      <c r="J4428" s="339"/>
      <c r="K4428" s="339"/>
      <c r="L4428" s="339" t="s">
        <v>409</v>
      </c>
      <c r="M4428" s="339" t="s">
        <v>409</v>
      </c>
      <c r="N4428" s="338" t="s">
        <v>417</v>
      </c>
      <c r="O4428" s="338" t="s">
        <v>409</v>
      </c>
      <c r="P4428" s="338" t="s">
        <v>417</v>
      </c>
    </row>
    <row r="4429" spans="2:16" x14ac:dyDescent="0.25">
      <c r="B4429" s="336" t="s">
        <v>416</v>
      </c>
      <c r="C4429" s="337">
        <v>38623</v>
      </c>
      <c r="D4429" s="338" t="s">
        <v>1581</v>
      </c>
      <c r="E4429" s="336" t="s">
        <v>1580</v>
      </c>
      <c r="F4429" s="338"/>
      <c r="G4429" s="338" t="s">
        <v>413</v>
      </c>
      <c r="H4429" s="338" t="s">
        <v>412</v>
      </c>
      <c r="I4429" s="338" t="s">
        <v>411</v>
      </c>
      <c r="J4429" s="339"/>
      <c r="K4429" s="339"/>
      <c r="L4429" s="339" t="s">
        <v>409</v>
      </c>
      <c r="M4429" s="339" t="s">
        <v>409</v>
      </c>
      <c r="N4429" s="338" t="s">
        <v>410</v>
      </c>
      <c r="O4429" s="338" t="s">
        <v>409</v>
      </c>
      <c r="P4429" s="338" t="s">
        <v>605</v>
      </c>
    </row>
    <row r="4430" spans="2:16" x14ac:dyDescent="0.25">
      <c r="B4430" s="336" t="s">
        <v>416</v>
      </c>
      <c r="C4430" s="337">
        <v>38623</v>
      </c>
      <c r="D4430" s="338" t="s">
        <v>1579</v>
      </c>
      <c r="E4430" s="336" t="s">
        <v>709</v>
      </c>
      <c r="F4430" s="338"/>
      <c r="G4430" s="338" t="s">
        <v>413</v>
      </c>
      <c r="H4430" s="338" t="s">
        <v>412</v>
      </c>
      <c r="I4430" s="338" t="s">
        <v>411</v>
      </c>
      <c r="J4430" s="339"/>
      <c r="K4430" s="339"/>
      <c r="L4430" s="339" t="s">
        <v>409</v>
      </c>
      <c r="M4430" s="339" t="s">
        <v>409</v>
      </c>
      <c r="N4430" s="338" t="s">
        <v>417</v>
      </c>
      <c r="O4430" s="338" t="s">
        <v>409</v>
      </c>
      <c r="P4430" s="338" t="s">
        <v>443</v>
      </c>
    </row>
    <row r="4431" spans="2:16" x14ac:dyDescent="0.25">
      <c r="B4431" s="336" t="s">
        <v>416</v>
      </c>
      <c r="C4431" s="337">
        <v>38622</v>
      </c>
      <c r="D4431" s="338" t="s">
        <v>1578</v>
      </c>
      <c r="E4431" s="336" t="s">
        <v>1577</v>
      </c>
      <c r="F4431" s="338"/>
      <c r="G4431" s="338">
        <v>317.10000000000002</v>
      </c>
      <c r="H4431" s="338" t="s">
        <v>425</v>
      </c>
      <c r="I4431" s="338" t="s">
        <v>411</v>
      </c>
      <c r="J4431" s="339">
        <v>0.55852599999999997</v>
      </c>
      <c r="K4431" s="339">
        <v>12.6578</v>
      </c>
      <c r="L4431" s="339" t="s">
        <v>409</v>
      </c>
      <c r="M4431" s="339" t="s">
        <v>409</v>
      </c>
      <c r="N4431" s="338" t="s">
        <v>417</v>
      </c>
      <c r="O4431" s="338" t="s">
        <v>409</v>
      </c>
      <c r="P4431" s="338" t="s">
        <v>443</v>
      </c>
    </row>
    <row r="4432" spans="2:16" x14ac:dyDescent="0.25">
      <c r="B4432" s="336" t="s">
        <v>416</v>
      </c>
      <c r="C4432" s="337">
        <v>38621</v>
      </c>
      <c r="D4432" s="338" t="s">
        <v>1576</v>
      </c>
      <c r="E4432" s="336" t="s">
        <v>1575</v>
      </c>
      <c r="F4432" s="338" t="s">
        <v>1574</v>
      </c>
      <c r="G4432" s="338">
        <v>75</v>
      </c>
      <c r="H4432" s="338" t="s">
        <v>412</v>
      </c>
      <c r="I4432" s="338" t="s">
        <v>411</v>
      </c>
      <c r="J4432" s="339"/>
      <c r="K4432" s="339"/>
      <c r="L4432" s="339">
        <v>2.8004099999999998</v>
      </c>
      <c r="M4432" s="339">
        <v>11.8912</v>
      </c>
      <c r="N4432" s="338"/>
      <c r="O4432" s="338" t="s">
        <v>417</v>
      </c>
      <c r="P4432" s="338" t="s">
        <v>443</v>
      </c>
    </row>
    <row r="4433" spans="2:16" x14ac:dyDescent="0.25">
      <c r="B4433" s="336" t="s">
        <v>416</v>
      </c>
      <c r="C4433" s="337">
        <v>38617</v>
      </c>
      <c r="D4433" s="338" t="s">
        <v>1573</v>
      </c>
      <c r="E4433" s="336" t="s">
        <v>1572</v>
      </c>
      <c r="F4433" s="338" t="s">
        <v>1571</v>
      </c>
      <c r="G4433" s="338">
        <v>27.5</v>
      </c>
      <c r="H4433" s="338" t="s">
        <v>425</v>
      </c>
      <c r="I4433" s="338" t="s">
        <v>411</v>
      </c>
      <c r="J4433" s="339"/>
      <c r="K4433" s="339"/>
      <c r="L4433" s="339"/>
      <c r="M4433" s="339"/>
      <c r="N4433" s="338"/>
      <c r="O4433" s="338" t="s">
        <v>417</v>
      </c>
      <c r="P4433" s="338" t="s">
        <v>417</v>
      </c>
    </row>
    <row r="4434" spans="2:16" x14ac:dyDescent="0.25">
      <c r="B4434" s="336" t="s">
        <v>416</v>
      </c>
      <c r="C4434" s="337">
        <v>38616</v>
      </c>
      <c r="D4434" s="338" t="s">
        <v>1570</v>
      </c>
      <c r="E4434" s="336" t="s">
        <v>1569</v>
      </c>
      <c r="F4434" s="338"/>
      <c r="G4434" s="338" t="s">
        <v>413</v>
      </c>
      <c r="H4434" s="338" t="s">
        <v>412</v>
      </c>
      <c r="I4434" s="338" t="s">
        <v>411</v>
      </c>
      <c r="J4434" s="339"/>
      <c r="K4434" s="339"/>
      <c r="L4434" s="339" t="s">
        <v>409</v>
      </c>
      <c r="M4434" s="339" t="s">
        <v>409</v>
      </c>
      <c r="N4434" s="338" t="s">
        <v>417</v>
      </c>
      <c r="O4434" s="338" t="s">
        <v>409</v>
      </c>
      <c r="P4434" s="338" t="s">
        <v>432</v>
      </c>
    </row>
    <row r="4435" spans="2:16" x14ac:dyDescent="0.25">
      <c r="B4435" s="336" t="s">
        <v>459</v>
      </c>
      <c r="C4435" s="337">
        <v>38616</v>
      </c>
      <c r="D4435" s="338" t="s">
        <v>1568</v>
      </c>
      <c r="E4435" s="336" t="s">
        <v>1567</v>
      </c>
      <c r="F4435" s="338"/>
      <c r="G4435" s="338" t="s">
        <v>413</v>
      </c>
      <c r="H4435" s="338" t="s">
        <v>425</v>
      </c>
      <c r="I4435" s="338" t="s">
        <v>411</v>
      </c>
      <c r="J4435" s="339"/>
      <c r="K4435" s="339"/>
      <c r="L4435" s="339" t="s">
        <v>409</v>
      </c>
      <c r="M4435" s="339" t="s">
        <v>409</v>
      </c>
      <c r="N4435" s="338" t="s">
        <v>432</v>
      </c>
      <c r="O4435" s="338" t="s">
        <v>409</v>
      </c>
      <c r="P4435" s="338" t="s">
        <v>432</v>
      </c>
    </row>
    <row r="4436" spans="2:16" x14ac:dyDescent="0.25">
      <c r="B4436" s="336" t="s">
        <v>459</v>
      </c>
      <c r="C4436" s="337">
        <v>38615</v>
      </c>
      <c r="D4436" s="338" t="s">
        <v>1566</v>
      </c>
      <c r="E4436" s="336" t="s">
        <v>804</v>
      </c>
      <c r="F4436" s="338"/>
      <c r="G4436" s="338" t="s">
        <v>413</v>
      </c>
      <c r="H4436" s="338" t="s">
        <v>425</v>
      </c>
      <c r="I4436" s="338" t="s">
        <v>411</v>
      </c>
      <c r="J4436" s="339"/>
      <c r="K4436" s="339"/>
      <c r="L4436" s="339" t="s">
        <v>409</v>
      </c>
      <c r="M4436" s="339" t="s">
        <v>409</v>
      </c>
      <c r="N4436" s="338" t="s">
        <v>417</v>
      </c>
      <c r="O4436" s="338" t="s">
        <v>409</v>
      </c>
      <c r="P4436" s="338" t="s">
        <v>443</v>
      </c>
    </row>
    <row r="4437" spans="2:16" x14ac:dyDescent="0.25">
      <c r="B4437" s="336" t="s">
        <v>416</v>
      </c>
      <c r="C4437" s="337">
        <v>38614</v>
      </c>
      <c r="D4437" s="338" t="s">
        <v>1565</v>
      </c>
      <c r="E4437" s="336" t="s">
        <v>1415</v>
      </c>
      <c r="F4437" s="338" t="s">
        <v>1564</v>
      </c>
      <c r="G4437" s="338">
        <v>45.9</v>
      </c>
      <c r="H4437" s="338" t="s">
        <v>429</v>
      </c>
      <c r="I4437" s="338" t="s">
        <v>411</v>
      </c>
      <c r="J4437" s="339"/>
      <c r="K4437" s="339"/>
      <c r="L4437" s="339"/>
      <c r="M4437" s="339"/>
      <c r="N4437" s="338"/>
      <c r="O4437" s="338" t="s">
        <v>417</v>
      </c>
      <c r="P4437" s="338" t="s">
        <v>417</v>
      </c>
    </row>
    <row r="4438" spans="2:16" x14ac:dyDescent="0.25">
      <c r="B4438" s="336" t="s">
        <v>416</v>
      </c>
      <c r="C4438" s="337">
        <v>38614</v>
      </c>
      <c r="D4438" s="338" t="s">
        <v>1563</v>
      </c>
      <c r="E4438" s="336" t="s">
        <v>1022</v>
      </c>
      <c r="F4438" s="338"/>
      <c r="G4438" s="338">
        <v>1090.19</v>
      </c>
      <c r="H4438" s="338" t="s">
        <v>425</v>
      </c>
      <c r="I4438" s="338" t="s">
        <v>411</v>
      </c>
      <c r="J4438" s="339">
        <v>0.53305899999999995</v>
      </c>
      <c r="K4438" s="339">
        <v>9.2578999999999994</v>
      </c>
      <c r="L4438" s="339" t="s">
        <v>409</v>
      </c>
      <c r="M4438" s="339" t="s">
        <v>409</v>
      </c>
      <c r="N4438" s="338" t="s">
        <v>417</v>
      </c>
      <c r="O4438" s="338" t="s">
        <v>409</v>
      </c>
      <c r="P4438" s="338" t="s">
        <v>417</v>
      </c>
    </row>
    <row r="4439" spans="2:16" x14ac:dyDescent="0.25">
      <c r="B4439" s="336" t="s">
        <v>416</v>
      </c>
      <c r="C4439" s="337">
        <v>38611</v>
      </c>
      <c r="D4439" s="338" t="s">
        <v>1562</v>
      </c>
      <c r="E4439" s="336" t="s">
        <v>1266</v>
      </c>
      <c r="F4439" s="338"/>
      <c r="G4439" s="338" t="s">
        <v>413</v>
      </c>
      <c r="H4439" s="338" t="s">
        <v>412</v>
      </c>
      <c r="I4439" s="338" t="s">
        <v>411</v>
      </c>
      <c r="J4439" s="339"/>
      <c r="K4439" s="339"/>
      <c r="L4439" s="339" t="s">
        <v>409</v>
      </c>
      <c r="M4439" s="339" t="s">
        <v>409</v>
      </c>
      <c r="N4439" s="338"/>
      <c r="O4439" s="338" t="s">
        <v>409</v>
      </c>
      <c r="P4439" s="338" t="s">
        <v>482</v>
      </c>
    </row>
    <row r="4440" spans="2:16" x14ac:dyDescent="0.25">
      <c r="B4440" s="336" t="s">
        <v>416</v>
      </c>
      <c r="C4440" s="337">
        <v>38610</v>
      </c>
      <c r="D4440" s="338" t="s">
        <v>1561</v>
      </c>
      <c r="E4440" s="336" t="s">
        <v>1560</v>
      </c>
      <c r="F4440" s="338"/>
      <c r="G4440" s="338" t="s">
        <v>413</v>
      </c>
      <c r="H4440" s="338" t="s">
        <v>412</v>
      </c>
      <c r="I4440" s="338" t="s">
        <v>411</v>
      </c>
      <c r="J4440" s="339"/>
      <c r="K4440" s="339"/>
      <c r="L4440" s="339" t="s">
        <v>409</v>
      </c>
      <c r="M4440" s="339" t="s">
        <v>409</v>
      </c>
      <c r="N4440" s="338" t="s">
        <v>417</v>
      </c>
      <c r="O4440" s="338" t="s">
        <v>409</v>
      </c>
      <c r="P4440" s="338" t="s">
        <v>408</v>
      </c>
    </row>
    <row r="4441" spans="2:16" x14ac:dyDescent="0.25">
      <c r="B4441" s="336" t="s">
        <v>416</v>
      </c>
      <c r="C4441" s="337">
        <v>38610</v>
      </c>
      <c r="D4441" s="338" t="s">
        <v>1559</v>
      </c>
      <c r="E4441" s="336" t="s">
        <v>477</v>
      </c>
      <c r="F4441" s="338" t="s">
        <v>1558</v>
      </c>
      <c r="G4441" s="338">
        <v>0.73</v>
      </c>
      <c r="H4441" s="338" t="s">
        <v>425</v>
      </c>
      <c r="I4441" s="338" t="s">
        <v>411</v>
      </c>
      <c r="J4441" s="339"/>
      <c r="K4441" s="339"/>
      <c r="L4441" s="339"/>
      <c r="M4441" s="339"/>
      <c r="N4441" s="338"/>
      <c r="O4441" s="338" t="s">
        <v>417</v>
      </c>
      <c r="P4441" s="338" t="s">
        <v>417</v>
      </c>
    </row>
    <row r="4442" spans="2:16" x14ac:dyDescent="0.25">
      <c r="B4442" s="336" t="s">
        <v>416</v>
      </c>
      <c r="C4442" s="337">
        <v>38610</v>
      </c>
      <c r="D4442" s="338" t="s">
        <v>1557</v>
      </c>
      <c r="E4442" s="336" t="s">
        <v>1556</v>
      </c>
      <c r="F4442" s="338"/>
      <c r="G4442" s="338">
        <v>0.45</v>
      </c>
      <c r="H4442" s="338" t="s">
        <v>336</v>
      </c>
      <c r="I4442" s="338" t="s">
        <v>411</v>
      </c>
      <c r="J4442" s="339"/>
      <c r="K4442" s="339"/>
      <c r="L4442" s="339" t="s">
        <v>409</v>
      </c>
      <c r="M4442" s="339" t="s">
        <v>409</v>
      </c>
      <c r="N4442" s="338" t="s">
        <v>487</v>
      </c>
      <c r="O4442" s="338" t="s">
        <v>409</v>
      </c>
      <c r="P4442" s="338" t="s">
        <v>432</v>
      </c>
    </row>
    <row r="4443" spans="2:16" x14ac:dyDescent="0.25">
      <c r="B4443" s="336" t="s">
        <v>416</v>
      </c>
      <c r="C4443" s="337">
        <v>38610</v>
      </c>
      <c r="D4443" s="338" t="s">
        <v>1555</v>
      </c>
      <c r="E4443" s="336" t="s">
        <v>1422</v>
      </c>
      <c r="F4443" s="338"/>
      <c r="G4443" s="338" t="s">
        <v>413</v>
      </c>
      <c r="H4443" s="338" t="s">
        <v>425</v>
      </c>
      <c r="I4443" s="338" t="s">
        <v>411</v>
      </c>
      <c r="J4443" s="339"/>
      <c r="K4443" s="339"/>
      <c r="L4443" s="339" t="s">
        <v>409</v>
      </c>
      <c r="M4443" s="339" t="s">
        <v>409</v>
      </c>
      <c r="N4443" s="338" t="s">
        <v>417</v>
      </c>
      <c r="O4443" s="338" t="s">
        <v>409</v>
      </c>
      <c r="P4443" s="338" t="s">
        <v>417</v>
      </c>
    </row>
    <row r="4444" spans="2:16" x14ac:dyDescent="0.25">
      <c r="B4444" s="336" t="s">
        <v>416</v>
      </c>
      <c r="C4444" s="337">
        <v>38610</v>
      </c>
      <c r="D4444" s="338" t="s">
        <v>1554</v>
      </c>
      <c r="E4444" s="336" t="s">
        <v>1553</v>
      </c>
      <c r="F4444" s="338"/>
      <c r="G4444" s="338" t="s">
        <v>413</v>
      </c>
      <c r="H4444" s="338" t="s">
        <v>412</v>
      </c>
      <c r="I4444" s="338" t="s">
        <v>411</v>
      </c>
      <c r="J4444" s="339"/>
      <c r="K4444" s="339"/>
      <c r="L4444" s="339" t="s">
        <v>409</v>
      </c>
      <c r="M4444" s="339" t="s">
        <v>409</v>
      </c>
      <c r="N4444" s="338"/>
      <c r="O4444" s="338" t="s">
        <v>409</v>
      </c>
      <c r="P4444" s="338" t="s">
        <v>417</v>
      </c>
    </row>
    <row r="4445" spans="2:16" x14ac:dyDescent="0.25">
      <c r="B4445" s="336" t="s">
        <v>416</v>
      </c>
      <c r="C4445" s="337">
        <v>38609</v>
      </c>
      <c r="D4445" s="338" t="s">
        <v>1552</v>
      </c>
      <c r="E4445" s="336" t="s">
        <v>785</v>
      </c>
      <c r="F4445" s="338"/>
      <c r="G4445" s="338">
        <v>19.5</v>
      </c>
      <c r="H4445" s="338" t="s">
        <v>425</v>
      </c>
      <c r="I4445" s="338" t="s">
        <v>411</v>
      </c>
      <c r="J4445" s="339"/>
      <c r="K4445" s="339"/>
      <c r="L4445" s="339" t="s">
        <v>409</v>
      </c>
      <c r="M4445" s="339" t="s">
        <v>409</v>
      </c>
      <c r="N4445" s="338" t="s">
        <v>408</v>
      </c>
      <c r="O4445" s="338" t="s">
        <v>409</v>
      </c>
      <c r="P4445" s="338" t="s">
        <v>417</v>
      </c>
    </row>
    <row r="4446" spans="2:16" x14ac:dyDescent="0.25">
      <c r="B4446" s="336" t="s">
        <v>416</v>
      </c>
      <c r="C4446" s="337">
        <v>38609</v>
      </c>
      <c r="D4446" s="338" t="s">
        <v>1551</v>
      </c>
      <c r="E4446" s="336" t="s">
        <v>1550</v>
      </c>
      <c r="F4446" s="338" t="s">
        <v>889</v>
      </c>
      <c r="G4446" s="338">
        <v>75</v>
      </c>
      <c r="H4446" s="338" t="s">
        <v>425</v>
      </c>
      <c r="I4446" s="338" t="s">
        <v>411</v>
      </c>
      <c r="J4446" s="339"/>
      <c r="K4446" s="339"/>
      <c r="L4446" s="339">
        <v>2.9470299999999998</v>
      </c>
      <c r="M4446" s="339">
        <v>13.790100000000001</v>
      </c>
      <c r="N4446" s="338"/>
      <c r="O4446" s="338" t="s">
        <v>410</v>
      </c>
      <c r="P4446" s="338" t="s">
        <v>410</v>
      </c>
    </row>
    <row r="4447" spans="2:16" x14ac:dyDescent="0.25">
      <c r="B4447" s="336" t="s">
        <v>416</v>
      </c>
      <c r="C4447" s="337">
        <v>38608</v>
      </c>
      <c r="D4447" s="338" t="s">
        <v>1549</v>
      </c>
      <c r="E4447" s="336" t="s">
        <v>1548</v>
      </c>
      <c r="F4447" s="338"/>
      <c r="G4447" s="338" t="s">
        <v>413</v>
      </c>
      <c r="H4447" s="338" t="s">
        <v>412</v>
      </c>
      <c r="I4447" s="338" t="s">
        <v>411</v>
      </c>
      <c r="J4447" s="339"/>
      <c r="K4447" s="339"/>
      <c r="L4447" s="339" t="s">
        <v>409</v>
      </c>
      <c r="M4447" s="339" t="s">
        <v>409</v>
      </c>
      <c r="N4447" s="338" t="s">
        <v>417</v>
      </c>
      <c r="O4447" s="338" t="s">
        <v>409</v>
      </c>
      <c r="P4447" s="338" t="s">
        <v>432</v>
      </c>
    </row>
    <row r="4448" spans="2:16" x14ac:dyDescent="0.25">
      <c r="B4448" s="336" t="s">
        <v>416</v>
      </c>
      <c r="C4448" s="337">
        <v>38607</v>
      </c>
      <c r="D4448" s="338" t="s">
        <v>1547</v>
      </c>
      <c r="E4448" s="336" t="s">
        <v>1546</v>
      </c>
      <c r="F4448" s="338"/>
      <c r="G4448" s="338" t="s">
        <v>413</v>
      </c>
      <c r="H4448" s="338" t="s">
        <v>336</v>
      </c>
      <c r="I4448" s="338" t="s">
        <v>411</v>
      </c>
      <c r="J4448" s="339"/>
      <c r="K4448" s="339"/>
      <c r="L4448" s="339" t="s">
        <v>409</v>
      </c>
      <c r="M4448" s="339" t="s">
        <v>409</v>
      </c>
      <c r="N4448" s="338" t="s">
        <v>410</v>
      </c>
      <c r="O4448" s="338" t="s">
        <v>409</v>
      </c>
      <c r="P4448" s="338" t="s">
        <v>605</v>
      </c>
    </row>
    <row r="4449" spans="2:16" x14ac:dyDescent="0.25">
      <c r="B4449" s="336" t="s">
        <v>416</v>
      </c>
      <c r="C4449" s="337">
        <v>38607</v>
      </c>
      <c r="D4449" s="338" t="s">
        <v>1545</v>
      </c>
      <c r="E4449" s="336" t="s">
        <v>441</v>
      </c>
      <c r="F4449" s="338"/>
      <c r="G4449" s="338" t="s">
        <v>413</v>
      </c>
      <c r="H4449" s="338" t="s">
        <v>425</v>
      </c>
      <c r="I4449" s="338" t="s">
        <v>411</v>
      </c>
      <c r="J4449" s="339"/>
      <c r="K4449" s="339"/>
      <c r="L4449" s="339" t="s">
        <v>409</v>
      </c>
      <c r="M4449" s="339" t="s">
        <v>409</v>
      </c>
      <c r="N4449" s="338"/>
      <c r="O4449" s="338" t="s">
        <v>409</v>
      </c>
      <c r="P4449" s="338" t="s">
        <v>417</v>
      </c>
    </row>
    <row r="4450" spans="2:16" x14ac:dyDescent="0.25">
      <c r="B4450" s="336" t="s">
        <v>416</v>
      </c>
      <c r="C4450" s="337">
        <v>38604</v>
      </c>
      <c r="D4450" s="338" t="s">
        <v>1544</v>
      </c>
      <c r="E4450" s="336" t="s">
        <v>1124</v>
      </c>
      <c r="F4450" s="338"/>
      <c r="G4450" s="338">
        <v>87.1</v>
      </c>
      <c r="H4450" s="338" t="s">
        <v>425</v>
      </c>
      <c r="I4450" s="338" t="s">
        <v>411</v>
      </c>
      <c r="J4450" s="339"/>
      <c r="K4450" s="339"/>
      <c r="L4450" s="339" t="s">
        <v>409</v>
      </c>
      <c r="M4450" s="339" t="s">
        <v>409</v>
      </c>
      <c r="N4450" s="338"/>
      <c r="O4450" s="338" t="s">
        <v>409</v>
      </c>
      <c r="P4450" s="338" t="s">
        <v>443</v>
      </c>
    </row>
    <row r="4451" spans="2:16" x14ac:dyDescent="0.25">
      <c r="B4451" s="336" t="s">
        <v>459</v>
      </c>
      <c r="C4451" s="337">
        <v>38604</v>
      </c>
      <c r="D4451" s="338" t="s">
        <v>1543</v>
      </c>
      <c r="E4451" s="336" t="s">
        <v>1542</v>
      </c>
      <c r="F4451" s="338"/>
      <c r="G4451" s="338">
        <v>8</v>
      </c>
      <c r="H4451" s="338" t="s">
        <v>425</v>
      </c>
      <c r="I4451" s="338" t="s">
        <v>411</v>
      </c>
      <c r="J4451" s="339"/>
      <c r="K4451" s="339"/>
      <c r="L4451" s="339" t="s">
        <v>409</v>
      </c>
      <c r="M4451" s="339" t="s">
        <v>409</v>
      </c>
      <c r="N4451" s="338" t="s">
        <v>417</v>
      </c>
      <c r="O4451" s="338" t="s">
        <v>409</v>
      </c>
      <c r="P4451" s="338"/>
    </row>
    <row r="4452" spans="2:16" x14ac:dyDescent="0.25">
      <c r="B4452" s="336" t="s">
        <v>416</v>
      </c>
      <c r="C4452" s="337">
        <v>38604</v>
      </c>
      <c r="D4452" s="338" t="s">
        <v>1541</v>
      </c>
      <c r="E4452" s="336" t="s">
        <v>1540</v>
      </c>
      <c r="F4452" s="338" t="s">
        <v>1539</v>
      </c>
      <c r="G4452" s="338">
        <v>15</v>
      </c>
      <c r="H4452" s="338" t="s">
        <v>425</v>
      </c>
      <c r="I4452" s="338" t="s">
        <v>411</v>
      </c>
      <c r="J4452" s="339"/>
      <c r="K4452" s="339"/>
      <c r="L4452" s="339">
        <v>891.93</v>
      </c>
      <c r="M4452" s="339"/>
      <c r="N4452" s="338"/>
      <c r="O4452" s="338" t="s">
        <v>417</v>
      </c>
      <c r="P4452" s="338" t="s">
        <v>410</v>
      </c>
    </row>
    <row r="4453" spans="2:16" x14ac:dyDescent="0.25">
      <c r="B4453" s="336" t="s">
        <v>416</v>
      </c>
      <c r="C4453" s="337">
        <v>38603</v>
      </c>
      <c r="D4453" s="338" t="s">
        <v>1538</v>
      </c>
      <c r="E4453" s="336" t="s">
        <v>1537</v>
      </c>
      <c r="F4453" s="338"/>
      <c r="G4453" s="338" t="s">
        <v>413</v>
      </c>
      <c r="H4453" s="338" t="s">
        <v>412</v>
      </c>
      <c r="I4453" s="338" t="s">
        <v>411</v>
      </c>
      <c r="J4453" s="339"/>
      <c r="K4453" s="339"/>
      <c r="L4453" s="339" t="s">
        <v>409</v>
      </c>
      <c r="M4453" s="339" t="s">
        <v>409</v>
      </c>
      <c r="N4453" s="338" t="s">
        <v>417</v>
      </c>
      <c r="O4453" s="338" t="s">
        <v>409</v>
      </c>
      <c r="P4453" s="338" t="s">
        <v>417</v>
      </c>
    </row>
    <row r="4454" spans="2:16" x14ac:dyDescent="0.25">
      <c r="B4454" s="336" t="s">
        <v>416</v>
      </c>
      <c r="C4454" s="337">
        <v>38603</v>
      </c>
      <c r="D4454" s="338" t="s">
        <v>1536</v>
      </c>
      <c r="E4454" s="336" t="s">
        <v>900</v>
      </c>
      <c r="F4454" s="338"/>
      <c r="G4454" s="338">
        <v>6.3</v>
      </c>
      <c r="H4454" s="338" t="s">
        <v>418</v>
      </c>
      <c r="I4454" s="338" t="s">
        <v>411</v>
      </c>
      <c r="J4454" s="339"/>
      <c r="K4454" s="339"/>
      <c r="L4454" s="339" t="s">
        <v>409</v>
      </c>
      <c r="M4454" s="339" t="s">
        <v>409</v>
      </c>
      <c r="N4454" s="338" t="s">
        <v>408</v>
      </c>
      <c r="O4454" s="338" t="s">
        <v>409</v>
      </c>
      <c r="P4454" s="338" t="s">
        <v>417</v>
      </c>
    </row>
    <row r="4455" spans="2:16" x14ac:dyDescent="0.25">
      <c r="B4455" s="336" t="s">
        <v>416</v>
      </c>
      <c r="C4455" s="337">
        <v>38601</v>
      </c>
      <c r="D4455" s="338" t="s">
        <v>1535</v>
      </c>
      <c r="E4455" s="336" t="s">
        <v>1534</v>
      </c>
      <c r="F4455" s="338"/>
      <c r="G4455" s="338" t="s">
        <v>413</v>
      </c>
      <c r="H4455" s="338" t="s">
        <v>412</v>
      </c>
      <c r="I4455" s="338" t="s">
        <v>411</v>
      </c>
      <c r="J4455" s="339"/>
      <c r="K4455" s="339"/>
      <c r="L4455" s="339" t="s">
        <v>409</v>
      </c>
      <c r="M4455" s="339" t="s">
        <v>409</v>
      </c>
      <c r="N4455" s="338" t="s">
        <v>417</v>
      </c>
      <c r="O4455" s="338" t="s">
        <v>409</v>
      </c>
      <c r="P4455" s="338" t="s">
        <v>543</v>
      </c>
    </row>
    <row r="4456" spans="2:16" x14ac:dyDescent="0.25">
      <c r="B4456" s="336" t="s">
        <v>416</v>
      </c>
      <c r="C4456" s="337">
        <v>38601</v>
      </c>
      <c r="D4456" s="338" t="s">
        <v>1123</v>
      </c>
      <c r="E4456" s="336" t="s">
        <v>877</v>
      </c>
      <c r="F4456" s="338"/>
      <c r="G4456" s="338">
        <v>245</v>
      </c>
      <c r="H4456" s="338" t="s">
        <v>425</v>
      </c>
      <c r="I4456" s="338" t="s">
        <v>411</v>
      </c>
      <c r="J4456" s="339"/>
      <c r="K4456" s="339"/>
      <c r="L4456" s="339" t="s">
        <v>409</v>
      </c>
      <c r="M4456" s="339" t="s">
        <v>409</v>
      </c>
      <c r="N4456" s="338" t="s">
        <v>417</v>
      </c>
      <c r="O4456" s="338" t="s">
        <v>409</v>
      </c>
      <c r="P4456" s="338" t="s">
        <v>443</v>
      </c>
    </row>
    <row r="4457" spans="2:16" x14ac:dyDescent="0.25">
      <c r="B4457" s="336" t="s">
        <v>416</v>
      </c>
      <c r="C4457" s="337">
        <v>38601</v>
      </c>
      <c r="D4457" s="338" t="s">
        <v>1533</v>
      </c>
      <c r="E4457" s="336" t="s">
        <v>1532</v>
      </c>
      <c r="F4457" s="338"/>
      <c r="G4457" s="338" t="s">
        <v>413</v>
      </c>
      <c r="H4457" s="338" t="s">
        <v>412</v>
      </c>
      <c r="I4457" s="338" t="s">
        <v>411</v>
      </c>
      <c r="J4457" s="339"/>
      <c r="K4457" s="339"/>
      <c r="L4457" s="339" t="s">
        <v>409</v>
      </c>
      <c r="M4457" s="339" t="s">
        <v>409</v>
      </c>
      <c r="N4457" s="338" t="s">
        <v>417</v>
      </c>
      <c r="O4457" s="338" t="s">
        <v>409</v>
      </c>
      <c r="P4457" s="338" t="s">
        <v>417</v>
      </c>
    </row>
    <row r="4458" spans="2:16" x14ac:dyDescent="0.25">
      <c r="B4458" s="336" t="s">
        <v>416</v>
      </c>
      <c r="C4458" s="337">
        <v>38596</v>
      </c>
      <c r="D4458" s="338" t="s">
        <v>1531</v>
      </c>
      <c r="E4458" s="336" t="s">
        <v>1527</v>
      </c>
      <c r="F4458" s="338"/>
      <c r="G4458" s="338" t="s">
        <v>413</v>
      </c>
      <c r="H4458" s="338" t="s">
        <v>412</v>
      </c>
      <c r="I4458" s="338" t="s">
        <v>411</v>
      </c>
      <c r="J4458" s="339"/>
      <c r="K4458" s="339"/>
      <c r="L4458" s="339" t="s">
        <v>409</v>
      </c>
      <c r="M4458" s="339" t="s">
        <v>409</v>
      </c>
      <c r="N4458" s="338" t="s">
        <v>417</v>
      </c>
      <c r="O4458" s="338" t="s">
        <v>409</v>
      </c>
      <c r="P4458" s="338" t="s">
        <v>417</v>
      </c>
    </row>
    <row r="4459" spans="2:16" x14ac:dyDescent="0.25">
      <c r="B4459" s="336" t="s">
        <v>416</v>
      </c>
      <c r="C4459" s="337">
        <v>38596</v>
      </c>
      <c r="D4459" s="338" t="s">
        <v>1530</v>
      </c>
      <c r="E4459" s="336" t="s">
        <v>1529</v>
      </c>
      <c r="F4459" s="338"/>
      <c r="G4459" s="338">
        <v>1181.78</v>
      </c>
      <c r="H4459" s="338" t="s">
        <v>425</v>
      </c>
      <c r="I4459" s="338" t="s">
        <v>411</v>
      </c>
      <c r="J4459" s="339">
        <v>0.39663199999999998</v>
      </c>
      <c r="K4459" s="339">
        <v>8.1631400000000003</v>
      </c>
      <c r="L4459" s="339" t="s">
        <v>409</v>
      </c>
      <c r="M4459" s="339" t="s">
        <v>409</v>
      </c>
      <c r="N4459" s="338" t="s">
        <v>410</v>
      </c>
      <c r="O4459" s="338" t="s">
        <v>409</v>
      </c>
      <c r="P4459" s="338" t="s">
        <v>410</v>
      </c>
    </row>
    <row r="4460" spans="2:16" x14ac:dyDescent="0.25">
      <c r="B4460" s="336" t="s">
        <v>416</v>
      </c>
      <c r="C4460" s="337">
        <v>38596</v>
      </c>
      <c r="D4460" s="338" t="s">
        <v>1528</v>
      </c>
      <c r="E4460" s="336" t="s">
        <v>1527</v>
      </c>
      <c r="F4460" s="338"/>
      <c r="G4460" s="338" t="s">
        <v>413</v>
      </c>
      <c r="H4460" s="338" t="s">
        <v>412</v>
      </c>
      <c r="I4460" s="338" t="s">
        <v>411</v>
      </c>
      <c r="J4460" s="339"/>
      <c r="K4460" s="339"/>
      <c r="L4460" s="339" t="s">
        <v>409</v>
      </c>
      <c r="M4460" s="339" t="s">
        <v>409</v>
      </c>
      <c r="N4460" s="338" t="s">
        <v>417</v>
      </c>
      <c r="O4460" s="338" t="s">
        <v>409</v>
      </c>
      <c r="P4460" s="338" t="s">
        <v>417</v>
      </c>
    </row>
    <row r="4461" spans="2:16" x14ac:dyDescent="0.25">
      <c r="B4461" s="336" t="s">
        <v>416</v>
      </c>
      <c r="C4461" s="337">
        <v>38595</v>
      </c>
      <c r="D4461" s="338" t="s">
        <v>1526</v>
      </c>
      <c r="E4461" s="336" t="s">
        <v>1525</v>
      </c>
      <c r="F4461" s="338" t="s">
        <v>843</v>
      </c>
      <c r="G4461" s="338">
        <v>1856.85</v>
      </c>
      <c r="H4461" s="338" t="s">
        <v>425</v>
      </c>
      <c r="I4461" s="338" t="s">
        <v>411</v>
      </c>
      <c r="J4461" s="339"/>
      <c r="K4461" s="339"/>
      <c r="L4461" s="339">
        <v>0.30612499999999998</v>
      </c>
      <c r="M4461" s="339">
        <v>49.310099999999998</v>
      </c>
      <c r="N4461" s="338"/>
      <c r="O4461" s="338" t="s">
        <v>417</v>
      </c>
      <c r="P4461" s="338" t="s">
        <v>443</v>
      </c>
    </row>
    <row r="4462" spans="2:16" x14ac:dyDescent="0.25">
      <c r="B4462" s="336" t="s">
        <v>416</v>
      </c>
      <c r="C4462" s="337">
        <v>38595</v>
      </c>
      <c r="D4462" s="338" t="s">
        <v>1524</v>
      </c>
      <c r="E4462" s="336" t="s">
        <v>1217</v>
      </c>
      <c r="F4462" s="338" t="s">
        <v>1523</v>
      </c>
      <c r="G4462" s="338" t="s">
        <v>413</v>
      </c>
      <c r="H4462" s="338" t="s">
        <v>412</v>
      </c>
      <c r="I4462" s="338" t="s">
        <v>411</v>
      </c>
      <c r="J4462" s="339"/>
      <c r="K4462" s="339"/>
      <c r="L4462" s="339">
        <v>1.1722300000000001</v>
      </c>
      <c r="M4462" s="339">
        <v>10.1371</v>
      </c>
      <c r="N4462" s="338"/>
      <c r="O4462" s="338" t="s">
        <v>410</v>
      </c>
      <c r="P4462" s="338" t="s">
        <v>410</v>
      </c>
    </row>
    <row r="4463" spans="2:16" x14ac:dyDescent="0.25">
      <c r="B4463" s="336" t="s">
        <v>416</v>
      </c>
      <c r="C4463" s="337">
        <v>38595</v>
      </c>
      <c r="D4463" s="338" t="s">
        <v>1522</v>
      </c>
      <c r="E4463" s="336" t="s">
        <v>1521</v>
      </c>
      <c r="F4463" s="338"/>
      <c r="G4463" s="338" t="s">
        <v>413</v>
      </c>
      <c r="H4463" s="338" t="s">
        <v>412</v>
      </c>
      <c r="I4463" s="338" t="s">
        <v>411</v>
      </c>
      <c r="J4463" s="339"/>
      <c r="K4463" s="339"/>
      <c r="L4463" s="339" t="s">
        <v>409</v>
      </c>
      <c r="M4463" s="339" t="s">
        <v>409</v>
      </c>
      <c r="N4463" s="338"/>
      <c r="O4463" s="338" t="s">
        <v>409</v>
      </c>
      <c r="P4463" s="338" t="s">
        <v>432</v>
      </c>
    </row>
    <row r="4464" spans="2:16" x14ac:dyDescent="0.25">
      <c r="B4464" s="336" t="s">
        <v>416</v>
      </c>
      <c r="C4464" s="337">
        <v>38594</v>
      </c>
      <c r="D4464" s="338" t="s">
        <v>1520</v>
      </c>
      <c r="E4464" s="336" t="s">
        <v>1519</v>
      </c>
      <c r="F4464" s="338"/>
      <c r="G4464" s="338" t="s">
        <v>413</v>
      </c>
      <c r="H4464" s="338" t="s">
        <v>336</v>
      </c>
      <c r="I4464" s="338" t="s">
        <v>411</v>
      </c>
      <c r="J4464" s="339"/>
      <c r="K4464" s="339"/>
      <c r="L4464" s="339" t="s">
        <v>409</v>
      </c>
      <c r="M4464" s="339" t="s">
        <v>409</v>
      </c>
      <c r="N4464" s="338" t="s">
        <v>417</v>
      </c>
      <c r="O4464" s="338" t="s">
        <v>409</v>
      </c>
      <c r="P4464" s="338" t="s">
        <v>417</v>
      </c>
    </row>
    <row r="4465" spans="2:16" x14ac:dyDescent="0.25">
      <c r="B4465" s="336" t="s">
        <v>459</v>
      </c>
      <c r="C4465" s="337">
        <v>38594</v>
      </c>
      <c r="D4465" s="338" t="s">
        <v>1518</v>
      </c>
      <c r="E4465" s="336" t="s">
        <v>1517</v>
      </c>
      <c r="F4465" s="338"/>
      <c r="G4465" s="338">
        <v>63</v>
      </c>
      <c r="H4465" s="338" t="s">
        <v>425</v>
      </c>
      <c r="I4465" s="338" t="s">
        <v>411</v>
      </c>
      <c r="J4465" s="339"/>
      <c r="K4465" s="339"/>
      <c r="L4465" s="339" t="s">
        <v>409</v>
      </c>
      <c r="M4465" s="339" t="s">
        <v>409</v>
      </c>
      <c r="N4465" s="338" t="s">
        <v>417</v>
      </c>
      <c r="O4465" s="338" t="s">
        <v>409</v>
      </c>
      <c r="P4465" s="338" t="s">
        <v>443</v>
      </c>
    </row>
    <row r="4466" spans="2:16" x14ac:dyDescent="0.25">
      <c r="B4466" s="336" t="s">
        <v>416</v>
      </c>
      <c r="C4466" s="337">
        <v>38593</v>
      </c>
      <c r="D4466" s="338" t="s">
        <v>1516</v>
      </c>
      <c r="E4466" s="336" t="s">
        <v>1514</v>
      </c>
      <c r="F4466" s="338"/>
      <c r="G4466" s="338" t="s">
        <v>413</v>
      </c>
      <c r="H4466" s="338" t="s">
        <v>412</v>
      </c>
      <c r="I4466" s="338" t="s">
        <v>411</v>
      </c>
      <c r="J4466" s="339"/>
      <c r="K4466" s="339"/>
      <c r="L4466" s="339" t="s">
        <v>409</v>
      </c>
      <c r="M4466" s="339" t="s">
        <v>409</v>
      </c>
      <c r="N4466" s="338"/>
      <c r="O4466" s="338" t="s">
        <v>409</v>
      </c>
      <c r="P4466" s="338" t="s">
        <v>432</v>
      </c>
    </row>
    <row r="4467" spans="2:16" x14ac:dyDescent="0.25">
      <c r="B4467" s="336" t="s">
        <v>416</v>
      </c>
      <c r="C4467" s="337">
        <v>38593</v>
      </c>
      <c r="D4467" s="338" t="s">
        <v>1515</v>
      </c>
      <c r="E4467" s="336" t="s">
        <v>1514</v>
      </c>
      <c r="F4467" s="338"/>
      <c r="G4467" s="338" t="s">
        <v>413</v>
      </c>
      <c r="H4467" s="338" t="s">
        <v>412</v>
      </c>
      <c r="I4467" s="338" t="s">
        <v>411</v>
      </c>
      <c r="J4467" s="339"/>
      <c r="K4467" s="339"/>
      <c r="L4467" s="339" t="s">
        <v>409</v>
      </c>
      <c r="M4467" s="339" t="s">
        <v>409</v>
      </c>
      <c r="N4467" s="338"/>
      <c r="O4467" s="338" t="s">
        <v>409</v>
      </c>
      <c r="P4467" s="338" t="s">
        <v>432</v>
      </c>
    </row>
    <row r="4468" spans="2:16" x14ac:dyDescent="0.25">
      <c r="B4468" s="336" t="s">
        <v>416</v>
      </c>
      <c r="C4468" s="337">
        <v>38593</v>
      </c>
      <c r="D4468" s="338" t="s">
        <v>1513</v>
      </c>
      <c r="E4468" s="336" t="s">
        <v>1512</v>
      </c>
      <c r="F4468" s="338"/>
      <c r="G4468" s="338">
        <v>37</v>
      </c>
      <c r="H4468" s="338" t="s">
        <v>412</v>
      </c>
      <c r="I4468" s="338" t="s">
        <v>411</v>
      </c>
      <c r="J4468" s="339"/>
      <c r="K4468" s="339"/>
      <c r="L4468" s="339" t="s">
        <v>409</v>
      </c>
      <c r="M4468" s="339" t="s">
        <v>409</v>
      </c>
      <c r="N4468" s="338" t="s">
        <v>487</v>
      </c>
      <c r="O4468" s="338" t="s">
        <v>409</v>
      </c>
      <c r="P4468" s="338" t="s">
        <v>487</v>
      </c>
    </row>
    <row r="4469" spans="2:16" x14ac:dyDescent="0.25">
      <c r="B4469" s="336" t="s">
        <v>416</v>
      </c>
      <c r="C4469" s="337">
        <v>38593</v>
      </c>
      <c r="D4469" s="338" t="s">
        <v>1511</v>
      </c>
      <c r="E4469" s="336" t="s">
        <v>1510</v>
      </c>
      <c r="F4469" s="338"/>
      <c r="G4469" s="338" t="s">
        <v>413</v>
      </c>
      <c r="H4469" s="338" t="s">
        <v>412</v>
      </c>
      <c r="I4469" s="338" t="s">
        <v>411</v>
      </c>
      <c r="J4469" s="339"/>
      <c r="K4469" s="339"/>
      <c r="L4469" s="339" t="s">
        <v>409</v>
      </c>
      <c r="M4469" s="339" t="s">
        <v>409</v>
      </c>
      <c r="N4469" s="338" t="s">
        <v>417</v>
      </c>
      <c r="O4469" s="338" t="s">
        <v>409</v>
      </c>
      <c r="P4469" s="338" t="s">
        <v>417</v>
      </c>
    </row>
    <row r="4470" spans="2:16" x14ac:dyDescent="0.25">
      <c r="B4470" s="336" t="s">
        <v>416</v>
      </c>
      <c r="C4470" s="337">
        <v>38593</v>
      </c>
      <c r="D4470" s="338" t="s">
        <v>1509</v>
      </c>
      <c r="E4470" s="336" t="s">
        <v>1508</v>
      </c>
      <c r="F4470" s="338"/>
      <c r="G4470" s="338">
        <v>841.75</v>
      </c>
      <c r="H4470" s="338" t="s">
        <v>425</v>
      </c>
      <c r="I4470" s="338" t="s">
        <v>411</v>
      </c>
      <c r="J4470" s="339"/>
      <c r="K4470" s="339"/>
      <c r="L4470" s="339" t="s">
        <v>409</v>
      </c>
      <c r="M4470" s="339" t="s">
        <v>409</v>
      </c>
      <c r="N4470" s="338" t="s">
        <v>417</v>
      </c>
      <c r="O4470" s="338" t="s">
        <v>409</v>
      </c>
      <c r="P4470" s="338" t="s">
        <v>443</v>
      </c>
    </row>
    <row r="4471" spans="2:16" x14ac:dyDescent="0.25">
      <c r="B4471" s="336" t="s">
        <v>416</v>
      </c>
      <c r="C4471" s="337">
        <v>38590</v>
      </c>
      <c r="D4471" s="338" t="s">
        <v>1507</v>
      </c>
      <c r="E4471" s="336" t="s">
        <v>1506</v>
      </c>
      <c r="F4471" s="338" t="s">
        <v>781</v>
      </c>
      <c r="G4471" s="338">
        <v>1.5</v>
      </c>
      <c r="H4471" s="338" t="s">
        <v>780</v>
      </c>
      <c r="I4471" s="338" t="s">
        <v>411</v>
      </c>
      <c r="J4471" s="339"/>
      <c r="K4471" s="339"/>
      <c r="L4471" s="339">
        <v>0.72636400000000001</v>
      </c>
      <c r="M4471" s="339">
        <v>5.4113600000000002</v>
      </c>
      <c r="N4471" s="338" t="s">
        <v>410</v>
      </c>
      <c r="O4471" s="338" t="s">
        <v>605</v>
      </c>
      <c r="P4471" s="338" t="s">
        <v>410</v>
      </c>
    </row>
    <row r="4472" spans="2:16" x14ac:dyDescent="0.25">
      <c r="B4472" s="336" t="s">
        <v>416</v>
      </c>
      <c r="C4472" s="337">
        <v>38589</v>
      </c>
      <c r="D4472" s="338" t="s">
        <v>1505</v>
      </c>
      <c r="E4472" s="336" t="s">
        <v>1504</v>
      </c>
      <c r="F4472" s="338"/>
      <c r="G4472" s="338" t="s">
        <v>413</v>
      </c>
      <c r="H4472" s="338" t="s">
        <v>412</v>
      </c>
      <c r="I4472" s="338" t="s">
        <v>411</v>
      </c>
      <c r="J4472" s="339"/>
      <c r="K4472" s="339"/>
      <c r="L4472" s="339" t="s">
        <v>409</v>
      </c>
      <c r="M4472" s="339" t="s">
        <v>409</v>
      </c>
      <c r="N4472" s="338"/>
      <c r="O4472" s="338" t="s">
        <v>409</v>
      </c>
      <c r="P4472" s="338" t="s">
        <v>417</v>
      </c>
    </row>
    <row r="4473" spans="2:16" x14ac:dyDescent="0.25">
      <c r="B4473" s="336" t="s">
        <v>416</v>
      </c>
      <c r="C4473" s="337">
        <v>38589</v>
      </c>
      <c r="D4473" s="338" t="s">
        <v>1503</v>
      </c>
      <c r="E4473" s="336" t="s">
        <v>1502</v>
      </c>
      <c r="F4473" s="338"/>
      <c r="G4473" s="338" t="s">
        <v>413</v>
      </c>
      <c r="H4473" s="338" t="s">
        <v>412</v>
      </c>
      <c r="I4473" s="338" t="s">
        <v>411</v>
      </c>
      <c r="J4473" s="339"/>
      <c r="K4473" s="339"/>
      <c r="L4473" s="339" t="s">
        <v>409</v>
      </c>
      <c r="M4473" s="339" t="s">
        <v>409</v>
      </c>
      <c r="N4473" s="338"/>
      <c r="O4473" s="338" t="s">
        <v>409</v>
      </c>
      <c r="P4473" s="338" t="s">
        <v>482</v>
      </c>
    </row>
    <row r="4474" spans="2:16" x14ac:dyDescent="0.25">
      <c r="B4474" s="336" t="s">
        <v>416</v>
      </c>
      <c r="C4474" s="337">
        <v>38588</v>
      </c>
      <c r="D4474" s="338" t="s">
        <v>1501</v>
      </c>
      <c r="E4474" s="336" t="s">
        <v>1500</v>
      </c>
      <c r="F4474" s="338"/>
      <c r="G4474" s="338" t="s">
        <v>413</v>
      </c>
      <c r="H4474" s="338" t="s">
        <v>412</v>
      </c>
      <c r="I4474" s="338" t="s">
        <v>411</v>
      </c>
      <c r="J4474" s="339"/>
      <c r="K4474" s="339"/>
      <c r="L4474" s="339" t="s">
        <v>409</v>
      </c>
      <c r="M4474" s="339" t="s">
        <v>409</v>
      </c>
      <c r="N4474" s="338"/>
      <c r="O4474" s="338" t="s">
        <v>409</v>
      </c>
      <c r="P4474" s="338" t="s">
        <v>605</v>
      </c>
    </row>
    <row r="4475" spans="2:16" x14ac:dyDescent="0.25">
      <c r="B4475" s="336" t="s">
        <v>416</v>
      </c>
      <c r="C4475" s="337">
        <v>38587</v>
      </c>
      <c r="D4475" s="338" t="s">
        <v>1499</v>
      </c>
      <c r="E4475" s="336" t="s">
        <v>1498</v>
      </c>
      <c r="F4475" s="338"/>
      <c r="G4475" s="338">
        <v>2.4</v>
      </c>
      <c r="H4475" s="338" t="s">
        <v>336</v>
      </c>
      <c r="I4475" s="338" t="s">
        <v>411</v>
      </c>
      <c r="J4475" s="339">
        <v>0.336893</v>
      </c>
      <c r="K4475" s="339">
        <v>10.6851</v>
      </c>
      <c r="L4475" s="339" t="s">
        <v>409</v>
      </c>
      <c r="M4475" s="339" t="s">
        <v>409</v>
      </c>
      <c r="N4475" s="338" t="s">
        <v>417</v>
      </c>
      <c r="O4475" s="338" t="s">
        <v>409</v>
      </c>
      <c r="P4475" s="338" t="s">
        <v>417</v>
      </c>
    </row>
    <row r="4476" spans="2:16" x14ac:dyDescent="0.25">
      <c r="B4476" s="336" t="s">
        <v>416</v>
      </c>
      <c r="C4476" s="337">
        <v>38586</v>
      </c>
      <c r="D4476" s="338" t="s">
        <v>1497</v>
      </c>
      <c r="E4476" s="336" t="s">
        <v>1496</v>
      </c>
      <c r="F4476" s="338"/>
      <c r="G4476" s="338" t="s">
        <v>413</v>
      </c>
      <c r="H4476" s="338" t="s">
        <v>412</v>
      </c>
      <c r="I4476" s="338" t="s">
        <v>411</v>
      </c>
      <c r="J4476" s="339"/>
      <c r="K4476" s="339"/>
      <c r="L4476" s="339" t="s">
        <v>409</v>
      </c>
      <c r="M4476" s="339" t="s">
        <v>409</v>
      </c>
      <c r="N4476" s="338"/>
      <c r="O4476" s="338" t="s">
        <v>409</v>
      </c>
      <c r="P4476" s="338" t="s">
        <v>417</v>
      </c>
    </row>
    <row r="4477" spans="2:16" x14ac:dyDescent="0.25">
      <c r="B4477" s="336" t="s">
        <v>416</v>
      </c>
      <c r="C4477" s="337">
        <v>38583</v>
      </c>
      <c r="D4477" s="338" t="s">
        <v>1495</v>
      </c>
      <c r="E4477" s="336" t="s">
        <v>434</v>
      </c>
      <c r="F4477" s="338" t="s">
        <v>1494</v>
      </c>
      <c r="G4477" s="338">
        <v>272</v>
      </c>
      <c r="H4477" s="338" t="s">
        <v>425</v>
      </c>
      <c r="I4477" s="338" t="s">
        <v>411</v>
      </c>
      <c r="J4477" s="339"/>
      <c r="K4477" s="339"/>
      <c r="L4477" s="339"/>
      <c r="M4477" s="339"/>
      <c r="N4477" s="338" t="s">
        <v>432</v>
      </c>
      <c r="O4477" s="338" t="s">
        <v>432</v>
      </c>
      <c r="P4477" s="338" t="s">
        <v>417</v>
      </c>
    </row>
    <row r="4478" spans="2:16" x14ac:dyDescent="0.25">
      <c r="B4478" s="336" t="s">
        <v>416</v>
      </c>
      <c r="C4478" s="337">
        <v>38583</v>
      </c>
      <c r="D4478" s="338" t="s">
        <v>1493</v>
      </c>
      <c r="E4478" s="336" t="s">
        <v>480</v>
      </c>
      <c r="F4478" s="338"/>
      <c r="G4478" s="338" t="s">
        <v>413</v>
      </c>
      <c r="H4478" s="338" t="s">
        <v>412</v>
      </c>
      <c r="I4478" s="338" t="s">
        <v>411</v>
      </c>
      <c r="J4478" s="339"/>
      <c r="K4478" s="339"/>
      <c r="L4478" s="339" t="s">
        <v>409</v>
      </c>
      <c r="M4478" s="339" t="s">
        <v>409</v>
      </c>
      <c r="N4478" s="338" t="s">
        <v>417</v>
      </c>
      <c r="O4478" s="338" t="s">
        <v>409</v>
      </c>
      <c r="P4478" s="338" t="s">
        <v>443</v>
      </c>
    </row>
    <row r="4479" spans="2:16" x14ac:dyDescent="0.25">
      <c r="B4479" s="336" t="s">
        <v>416</v>
      </c>
      <c r="C4479" s="337">
        <v>38583</v>
      </c>
      <c r="D4479" s="338" t="s">
        <v>1492</v>
      </c>
      <c r="E4479" s="336" t="s">
        <v>1491</v>
      </c>
      <c r="F4479" s="338"/>
      <c r="G4479" s="338">
        <v>20</v>
      </c>
      <c r="H4479" s="338" t="s">
        <v>425</v>
      </c>
      <c r="I4479" s="338" t="s">
        <v>411</v>
      </c>
      <c r="J4479" s="339"/>
      <c r="K4479" s="339"/>
      <c r="L4479" s="339" t="s">
        <v>409</v>
      </c>
      <c r="M4479" s="339" t="s">
        <v>409</v>
      </c>
      <c r="N4479" s="338" t="s">
        <v>417</v>
      </c>
      <c r="O4479" s="338" t="s">
        <v>409</v>
      </c>
      <c r="P4479" s="338" t="s">
        <v>443</v>
      </c>
    </row>
    <row r="4480" spans="2:16" x14ac:dyDescent="0.25">
      <c r="B4480" s="336" t="s">
        <v>416</v>
      </c>
      <c r="C4480" s="337">
        <v>38582</v>
      </c>
      <c r="D4480" s="338" t="s">
        <v>1490</v>
      </c>
      <c r="E4480" s="336" t="s">
        <v>1489</v>
      </c>
      <c r="F4480" s="338" t="s">
        <v>1163</v>
      </c>
      <c r="G4480" s="338" t="s">
        <v>413</v>
      </c>
      <c r="H4480" s="338" t="s">
        <v>412</v>
      </c>
      <c r="I4480" s="338" t="s">
        <v>411</v>
      </c>
      <c r="J4480" s="339"/>
      <c r="K4480" s="339"/>
      <c r="L4480" s="339"/>
      <c r="M4480" s="339"/>
      <c r="N4480" s="338"/>
      <c r="O4480" s="338" t="s">
        <v>417</v>
      </c>
      <c r="P4480" s="338" t="s">
        <v>417</v>
      </c>
    </row>
    <row r="4481" spans="2:16" x14ac:dyDescent="0.25">
      <c r="B4481" s="336" t="s">
        <v>416</v>
      </c>
      <c r="C4481" s="337">
        <v>38582</v>
      </c>
      <c r="D4481" s="338" t="s">
        <v>1488</v>
      </c>
      <c r="E4481" s="336" t="s">
        <v>1487</v>
      </c>
      <c r="F4481" s="338"/>
      <c r="G4481" s="338" t="s">
        <v>413</v>
      </c>
      <c r="H4481" s="338" t="s">
        <v>412</v>
      </c>
      <c r="I4481" s="338" t="s">
        <v>411</v>
      </c>
      <c r="J4481" s="339"/>
      <c r="K4481" s="339"/>
      <c r="L4481" s="339" t="s">
        <v>409</v>
      </c>
      <c r="M4481" s="339" t="s">
        <v>409</v>
      </c>
      <c r="N4481" s="338" t="s">
        <v>417</v>
      </c>
      <c r="O4481" s="338" t="s">
        <v>409</v>
      </c>
      <c r="P4481" s="338" t="s">
        <v>410</v>
      </c>
    </row>
    <row r="4482" spans="2:16" x14ac:dyDescent="0.25">
      <c r="B4482" s="336" t="s">
        <v>416</v>
      </c>
      <c r="C4482" s="337">
        <v>38582</v>
      </c>
      <c r="D4482" s="338" t="s">
        <v>1486</v>
      </c>
      <c r="E4482" s="336" t="s">
        <v>1485</v>
      </c>
      <c r="F4482" s="338" t="s">
        <v>1484</v>
      </c>
      <c r="G4482" s="338">
        <v>10.15</v>
      </c>
      <c r="H4482" s="338" t="s">
        <v>412</v>
      </c>
      <c r="I4482" s="338" t="s">
        <v>411</v>
      </c>
      <c r="J4482" s="339"/>
      <c r="K4482" s="339"/>
      <c r="L4482" s="339">
        <v>10.4421</v>
      </c>
      <c r="M4482" s="339">
        <v>11.271699999999999</v>
      </c>
      <c r="N4482" s="338" t="s">
        <v>417</v>
      </c>
      <c r="O4482" s="338" t="s">
        <v>443</v>
      </c>
      <c r="P4482" s="338" t="s">
        <v>417</v>
      </c>
    </row>
    <row r="4483" spans="2:16" x14ac:dyDescent="0.25">
      <c r="B4483" s="336" t="s">
        <v>416</v>
      </c>
      <c r="C4483" s="337">
        <v>38582</v>
      </c>
      <c r="D4483" s="338" t="s">
        <v>1483</v>
      </c>
      <c r="E4483" s="336" t="s">
        <v>1371</v>
      </c>
      <c r="F4483" s="338" t="s">
        <v>1482</v>
      </c>
      <c r="G4483" s="338" t="s">
        <v>413</v>
      </c>
      <c r="H4483" s="338" t="s">
        <v>425</v>
      </c>
      <c r="I4483" s="338" t="s">
        <v>411</v>
      </c>
      <c r="J4483" s="339"/>
      <c r="K4483" s="339"/>
      <c r="L4483" s="339">
        <v>3.72404</v>
      </c>
      <c r="M4483" s="339"/>
      <c r="N4483" s="338"/>
      <c r="O4483" s="338" t="s">
        <v>417</v>
      </c>
      <c r="P4483" s="338" t="s">
        <v>417</v>
      </c>
    </row>
    <row r="4484" spans="2:16" x14ac:dyDescent="0.25">
      <c r="B4484" s="336" t="s">
        <v>416</v>
      </c>
      <c r="C4484" s="337">
        <v>38581</v>
      </c>
      <c r="D4484" s="338" t="s">
        <v>1481</v>
      </c>
      <c r="E4484" s="336" t="s">
        <v>1480</v>
      </c>
      <c r="F4484" s="338" t="s">
        <v>1479</v>
      </c>
      <c r="G4484" s="338">
        <v>12</v>
      </c>
      <c r="H4484" s="338" t="s">
        <v>425</v>
      </c>
      <c r="I4484" s="338" t="s">
        <v>411</v>
      </c>
      <c r="J4484" s="339"/>
      <c r="K4484" s="339"/>
      <c r="L4484" s="339">
        <v>1.4077200000000001</v>
      </c>
      <c r="M4484" s="339">
        <v>14.305199999999999</v>
      </c>
      <c r="N4484" s="338"/>
      <c r="O4484" s="338" t="s">
        <v>417</v>
      </c>
      <c r="P4484" s="338" t="s">
        <v>543</v>
      </c>
    </row>
    <row r="4485" spans="2:16" x14ac:dyDescent="0.25">
      <c r="B4485" s="336" t="s">
        <v>416</v>
      </c>
      <c r="C4485" s="337">
        <v>38581</v>
      </c>
      <c r="D4485" s="338" t="s">
        <v>1478</v>
      </c>
      <c r="E4485" s="336" t="s">
        <v>1477</v>
      </c>
      <c r="F4485" s="338" t="s">
        <v>1476</v>
      </c>
      <c r="G4485" s="338" t="s">
        <v>413</v>
      </c>
      <c r="H4485" s="338" t="s">
        <v>425</v>
      </c>
      <c r="I4485" s="338" t="s">
        <v>411</v>
      </c>
      <c r="J4485" s="339"/>
      <c r="K4485" s="339"/>
      <c r="L4485" s="339">
        <v>1.35023</v>
      </c>
      <c r="M4485" s="339">
        <v>9.3802500000000002</v>
      </c>
      <c r="N4485" s="338"/>
      <c r="O4485" s="338" t="s">
        <v>417</v>
      </c>
      <c r="P4485" s="338" t="s">
        <v>417</v>
      </c>
    </row>
    <row r="4486" spans="2:16" x14ac:dyDescent="0.25">
      <c r="B4486" s="336" t="s">
        <v>416</v>
      </c>
      <c r="C4486" s="337">
        <v>38581</v>
      </c>
      <c r="D4486" s="338" t="s">
        <v>1475</v>
      </c>
      <c r="E4486" s="336" t="s">
        <v>1474</v>
      </c>
      <c r="F4486" s="338" t="s">
        <v>1473</v>
      </c>
      <c r="G4486" s="338" t="s">
        <v>413</v>
      </c>
      <c r="H4486" s="338" t="s">
        <v>412</v>
      </c>
      <c r="I4486" s="338" t="s">
        <v>411</v>
      </c>
      <c r="J4486" s="339"/>
      <c r="K4486" s="339"/>
      <c r="L4486" s="339">
        <v>0.33351199999999998</v>
      </c>
      <c r="M4486" s="339"/>
      <c r="N4486" s="338"/>
      <c r="O4486" s="338" t="s">
        <v>417</v>
      </c>
      <c r="P4486" s="338" t="s">
        <v>417</v>
      </c>
    </row>
    <row r="4487" spans="2:16" x14ac:dyDescent="0.25">
      <c r="B4487" s="336" t="s">
        <v>416</v>
      </c>
      <c r="C4487" s="337">
        <v>38581</v>
      </c>
      <c r="D4487" s="338" t="s">
        <v>1472</v>
      </c>
      <c r="E4487" s="336" t="s">
        <v>785</v>
      </c>
      <c r="F4487" s="338"/>
      <c r="G4487" s="338">
        <v>2</v>
      </c>
      <c r="H4487" s="338" t="s">
        <v>429</v>
      </c>
      <c r="I4487" s="338" t="s">
        <v>411</v>
      </c>
      <c r="J4487" s="339"/>
      <c r="K4487" s="339"/>
      <c r="L4487" s="339" t="s">
        <v>409</v>
      </c>
      <c r="M4487" s="339" t="s">
        <v>409</v>
      </c>
      <c r="N4487" s="338" t="s">
        <v>487</v>
      </c>
      <c r="O4487" s="338" t="s">
        <v>409</v>
      </c>
      <c r="P4487" s="338" t="s">
        <v>417</v>
      </c>
    </row>
    <row r="4488" spans="2:16" x14ac:dyDescent="0.25">
      <c r="B4488" s="336" t="s">
        <v>416</v>
      </c>
      <c r="C4488" s="337">
        <v>38575</v>
      </c>
      <c r="D4488" s="338" t="s">
        <v>1471</v>
      </c>
      <c r="E4488" s="336" t="s">
        <v>1470</v>
      </c>
      <c r="F4488" s="338"/>
      <c r="G4488" s="338" t="s">
        <v>413</v>
      </c>
      <c r="H4488" s="338" t="s">
        <v>412</v>
      </c>
      <c r="I4488" s="338" t="s">
        <v>411</v>
      </c>
      <c r="J4488" s="339"/>
      <c r="K4488" s="339"/>
      <c r="L4488" s="339" t="s">
        <v>409</v>
      </c>
      <c r="M4488" s="339" t="s">
        <v>409</v>
      </c>
      <c r="N4488" s="338" t="s">
        <v>417</v>
      </c>
      <c r="O4488" s="338" t="s">
        <v>409</v>
      </c>
      <c r="P4488" s="338" t="s">
        <v>417</v>
      </c>
    </row>
    <row r="4489" spans="2:16" x14ac:dyDescent="0.25">
      <c r="B4489" s="336" t="s">
        <v>416</v>
      </c>
      <c r="C4489" s="337">
        <v>38573</v>
      </c>
      <c r="D4489" s="338" t="s">
        <v>1469</v>
      </c>
      <c r="E4489" s="336" t="s">
        <v>453</v>
      </c>
      <c r="F4489" s="338"/>
      <c r="G4489" s="338" t="s">
        <v>413</v>
      </c>
      <c r="H4489" s="338" t="s">
        <v>412</v>
      </c>
      <c r="I4489" s="338" t="s">
        <v>411</v>
      </c>
      <c r="J4489" s="339"/>
      <c r="K4489" s="339"/>
      <c r="L4489" s="339" t="s">
        <v>409</v>
      </c>
      <c r="M4489" s="339" t="s">
        <v>409</v>
      </c>
      <c r="N4489" s="338" t="s">
        <v>417</v>
      </c>
      <c r="O4489" s="338" t="s">
        <v>409</v>
      </c>
      <c r="P4489" s="338" t="s">
        <v>443</v>
      </c>
    </row>
    <row r="4490" spans="2:16" x14ac:dyDescent="0.25">
      <c r="B4490" s="336" t="s">
        <v>459</v>
      </c>
      <c r="C4490" s="337">
        <v>38572</v>
      </c>
      <c r="D4490" s="338" t="s">
        <v>1468</v>
      </c>
      <c r="E4490" s="336" t="s">
        <v>1467</v>
      </c>
      <c r="F4490" s="338"/>
      <c r="G4490" s="338">
        <v>14</v>
      </c>
      <c r="H4490" s="338" t="s">
        <v>425</v>
      </c>
      <c r="I4490" s="338" t="s">
        <v>411</v>
      </c>
      <c r="J4490" s="339"/>
      <c r="K4490" s="339"/>
      <c r="L4490" s="339" t="s">
        <v>409</v>
      </c>
      <c r="M4490" s="339" t="s">
        <v>409</v>
      </c>
      <c r="N4490" s="338" t="s">
        <v>432</v>
      </c>
      <c r="O4490" s="338" t="s">
        <v>409</v>
      </c>
      <c r="P4490" s="338"/>
    </row>
    <row r="4491" spans="2:16" x14ac:dyDescent="0.25">
      <c r="B4491" s="336" t="s">
        <v>416</v>
      </c>
      <c r="C4491" s="337">
        <v>38572</v>
      </c>
      <c r="D4491" s="338" t="s">
        <v>1466</v>
      </c>
      <c r="E4491" s="336" t="s">
        <v>1465</v>
      </c>
      <c r="F4491" s="338" t="s">
        <v>1464</v>
      </c>
      <c r="G4491" s="338">
        <v>396.2</v>
      </c>
      <c r="H4491" s="338" t="s">
        <v>425</v>
      </c>
      <c r="I4491" s="338" t="s">
        <v>411</v>
      </c>
      <c r="J4491" s="339"/>
      <c r="K4491" s="339"/>
      <c r="L4491" s="339"/>
      <c r="M4491" s="339"/>
      <c r="N4491" s="338"/>
      <c r="O4491" s="338" t="s">
        <v>417</v>
      </c>
      <c r="P4491" s="338"/>
    </row>
    <row r="4492" spans="2:16" x14ac:dyDescent="0.25">
      <c r="B4492" s="336" t="s">
        <v>416</v>
      </c>
      <c r="C4492" s="337">
        <v>38569</v>
      </c>
      <c r="D4492" s="338" t="s">
        <v>1463</v>
      </c>
      <c r="E4492" s="336" t="s">
        <v>1462</v>
      </c>
      <c r="F4492" s="338"/>
      <c r="G4492" s="338">
        <v>30</v>
      </c>
      <c r="H4492" s="338" t="s">
        <v>425</v>
      </c>
      <c r="I4492" s="338" t="s">
        <v>411</v>
      </c>
      <c r="J4492" s="339"/>
      <c r="K4492" s="339"/>
      <c r="L4492" s="339" t="s">
        <v>409</v>
      </c>
      <c r="M4492" s="339" t="s">
        <v>409</v>
      </c>
      <c r="N4492" s="338" t="s">
        <v>417</v>
      </c>
      <c r="O4492" s="338" t="s">
        <v>409</v>
      </c>
      <c r="P4492" s="338" t="s">
        <v>487</v>
      </c>
    </row>
    <row r="4493" spans="2:16" x14ac:dyDescent="0.25">
      <c r="B4493" s="336" t="s">
        <v>542</v>
      </c>
      <c r="C4493" s="337">
        <v>38569</v>
      </c>
      <c r="D4493" s="338" t="s">
        <v>1240</v>
      </c>
      <c r="E4493" s="336" t="s">
        <v>539</v>
      </c>
      <c r="F4493" s="338"/>
      <c r="G4493" s="338">
        <v>11.95</v>
      </c>
      <c r="H4493" s="338"/>
      <c r="I4493" s="338" t="s">
        <v>411</v>
      </c>
      <c r="J4493" s="339">
        <v>2.3142200000000002</v>
      </c>
      <c r="K4493" s="339">
        <v>8.7028300000000005</v>
      </c>
      <c r="L4493" s="339" t="s">
        <v>409</v>
      </c>
      <c r="M4493" s="339" t="s">
        <v>409</v>
      </c>
      <c r="N4493" s="338" t="s">
        <v>417</v>
      </c>
      <c r="O4493" s="338" t="s">
        <v>409</v>
      </c>
      <c r="P4493" s="338" t="s">
        <v>417</v>
      </c>
    </row>
    <row r="4494" spans="2:16" x14ac:dyDescent="0.25">
      <c r="B4494" s="336" t="s">
        <v>416</v>
      </c>
      <c r="C4494" s="337">
        <v>38568</v>
      </c>
      <c r="D4494" s="338" t="s">
        <v>1461</v>
      </c>
      <c r="E4494" s="336" t="s">
        <v>825</v>
      </c>
      <c r="F4494" s="338" t="s">
        <v>1460</v>
      </c>
      <c r="G4494" s="338">
        <v>9.6999999999999993</v>
      </c>
      <c r="H4494" s="338" t="s">
        <v>425</v>
      </c>
      <c r="I4494" s="338" t="s">
        <v>411</v>
      </c>
      <c r="J4494" s="339"/>
      <c r="K4494" s="339"/>
      <c r="L4494" s="339"/>
      <c r="M4494" s="339"/>
      <c r="N4494" s="338"/>
      <c r="O4494" s="338" t="s">
        <v>410</v>
      </c>
      <c r="P4494" s="338" t="s">
        <v>417</v>
      </c>
    </row>
    <row r="4495" spans="2:16" x14ac:dyDescent="0.25">
      <c r="B4495" s="336" t="s">
        <v>416</v>
      </c>
      <c r="C4495" s="337">
        <v>38568</v>
      </c>
      <c r="D4495" s="338" t="s">
        <v>1459</v>
      </c>
      <c r="E4495" s="336" t="s">
        <v>477</v>
      </c>
      <c r="F4495" s="338" t="s">
        <v>1458</v>
      </c>
      <c r="G4495" s="338">
        <v>2.8</v>
      </c>
      <c r="H4495" s="338" t="s">
        <v>425</v>
      </c>
      <c r="I4495" s="338" t="s">
        <v>411</v>
      </c>
      <c r="J4495" s="339"/>
      <c r="K4495" s="339"/>
      <c r="L4495" s="339"/>
      <c r="M4495" s="339"/>
      <c r="N4495" s="338"/>
      <c r="O4495" s="338" t="s">
        <v>417</v>
      </c>
      <c r="P4495" s="338" t="s">
        <v>417</v>
      </c>
    </row>
    <row r="4496" spans="2:16" x14ac:dyDescent="0.25">
      <c r="B4496" s="336" t="s">
        <v>416</v>
      </c>
      <c r="C4496" s="337">
        <v>38567</v>
      </c>
      <c r="D4496" s="338" t="s">
        <v>1457</v>
      </c>
      <c r="E4496" s="336" t="s">
        <v>1456</v>
      </c>
      <c r="F4496" s="338" t="s">
        <v>1155</v>
      </c>
      <c r="G4496" s="338" t="s">
        <v>413</v>
      </c>
      <c r="H4496" s="338" t="s">
        <v>412</v>
      </c>
      <c r="I4496" s="338" t="s">
        <v>411</v>
      </c>
      <c r="J4496" s="339"/>
      <c r="K4496" s="339"/>
      <c r="L4496" s="339">
        <v>0.37458799999999998</v>
      </c>
      <c r="M4496" s="339">
        <v>5.7246800000000002</v>
      </c>
      <c r="N4496" s="338" t="s">
        <v>417</v>
      </c>
      <c r="O4496" s="338" t="s">
        <v>410</v>
      </c>
      <c r="P4496" s="338" t="s">
        <v>410</v>
      </c>
    </row>
    <row r="4497" spans="2:16" x14ac:dyDescent="0.25">
      <c r="B4497" s="336" t="s">
        <v>416</v>
      </c>
      <c r="C4497" s="337">
        <v>38567</v>
      </c>
      <c r="D4497" s="338" t="s">
        <v>1455</v>
      </c>
      <c r="E4497" s="336" t="s">
        <v>1454</v>
      </c>
      <c r="F4497" s="338"/>
      <c r="G4497" s="338">
        <v>0.68</v>
      </c>
      <c r="H4497" s="338" t="s">
        <v>429</v>
      </c>
      <c r="I4497" s="338" t="s">
        <v>411</v>
      </c>
      <c r="J4497" s="339"/>
      <c r="K4497" s="339"/>
      <c r="L4497" s="339" t="s">
        <v>409</v>
      </c>
      <c r="M4497" s="339" t="s">
        <v>409</v>
      </c>
      <c r="N4497" s="338" t="s">
        <v>612</v>
      </c>
      <c r="O4497" s="338" t="s">
        <v>409</v>
      </c>
      <c r="P4497" s="338" t="s">
        <v>417</v>
      </c>
    </row>
    <row r="4498" spans="2:16" x14ac:dyDescent="0.25">
      <c r="B4498" s="336" t="s">
        <v>416</v>
      </c>
      <c r="C4498" s="337">
        <v>38567</v>
      </c>
      <c r="D4498" s="338" t="s">
        <v>1453</v>
      </c>
      <c r="E4498" s="336" t="s">
        <v>1452</v>
      </c>
      <c r="F4498" s="338"/>
      <c r="G4498" s="338">
        <v>0.7</v>
      </c>
      <c r="H4498" s="338" t="s">
        <v>425</v>
      </c>
      <c r="I4498" s="338" t="s">
        <v>411</v>
      </c>
      <c r="J4498" s="339"/>
      <c r="K4498" s="339"/>
      <c r="L4498" s="339" t="s">
        <v>409</v>
      </c>
      <c r="M4498" s="339" t="s">
        <v>409</v>
      </c>
      <c r="N4498" s="338"/>
      <c r="O4498" s="338" t="s">
        <v>409</v>
      </c>
      <c r="P4498" s="338" t="s">
        <v>417</v>
      </c>
    </row>
    <row r="4499" spans="2:16" x14ac:dyDescent="0.25">
      <c r="B4499" s="336" t="s">
        <v>416</v>
      </c>
      <c r="C4499" s="337">
        <v>38566</v>
      </c>
      <c r="D4499" s="338" t="s">
        <v>1451</v>
      </c>
      <c r="E4499" s="336" t="s">
        <v>983</v>
      </c>
      <c r="F4499" s="338" t="s">
        <v>1450</v>
      </c>
      <c r="G4499" s="338" t="s">
        <v>413</v>
      </c>
      <c r="H4499" s="338" t="s">
        <v>425</v>
      </c>
      <c r="I4499" s="338" t="s">
        <v>411</v>
      </c>
      <c r="J4499" s="339"/>
      <c r="K4499" s="339"/>
      <c r="L4499" s="339"/>
      <c r="M4499" s="339"/>
      <c r="N4499" s="338"/>
      <c r="O4499" s="338" t="s">
        <v>417</v>
      </c>
      <c r="P4499" s="338" t="s">
        <v>417</v>
      </c>
    </row>
    <row r="4500" spans="2:16" x14ac:dyDescent="0.25">
      <c r="B4500" s="336" t="s">
        <v>416</v>
      </c>
      <c r="C4500" s="337">
        <v>38566</v>
      </c>
      <c r="D4500" s="338" t="s">
        <v>1449</v>
      </c>
      <c r="E4500" s="336" t="s">
        <v>1448</v>
      </c>
      <c r="F4500" s="338"/>
      <c r="G4500" s="338">
        <v>28.57</v>
      </c>
      <c r="H4500" s="338" t="s">
        <v>336</v>
      </c>
      <c r="I4500" s="338" t="s">
        <v>411</v>
      </c>
      <c r="J4500" s="339"/>
      <c r="K4500" s="339"/>
      <c r="L4500" s="339" t="s">
        <v>409</v>
      </c>
      <c r="M4500" s="339" t="s">
        <v>409</v>
      </c>
      <c r="N4500" s="338" t="s">
        <v>408</v>
      </c>
      <c r="O4500" s="338" t="s">
        <v>409</v>
      </c>
      <c r="P4500" s="338" t="s">
        <v>408</v>
      </c>
    </row>
    <row r="4501" spans="2:16" x14ac:dyDescent="0.25">
      <c r="B4501" s="336" t="s">
        <v>416</v>
      </c>
      <c r="C4501" s="337">
        <v>38566</v>
      </c>
      <c r="D4501" s="338" t="s">
        <v>1447</v>
      </c>
      <c r="E4501" s="336" t="s">
        <v>1446</v>
      </c>
      <c r="F4501" s="338" t="s">
        <v>761</v>
      </c>
      <c r="G4501" s="338">
        <v>33</v>
      </c>
      <c r="H4501" s="338" t="s">
        <v>425</v>
      </c>
      <c r="I4501" s="338" t="s">
        <v>411</v>
      </c>
      <c r="J4501" s="339"/>
      <c r="K4501" s="339"/>
      <c r="L4501" s="339">
        <v>2.8752</v>
      </c>
      <c r="M4501" s="339">
        <v>15.0625</v>
      </c>
      <c r="N4501" s="338"/>
      <c r="O4501" s="338" t="s">
        <v>417</v>
      </c>
      <c r="P4501" s="338" t="s">
        <v>443</v>
      </c>
    </row>
    <row r="4502" spans="2:16" x14ac:dyDescent="0.25">
      <c r="B4502" s="336" t="s">
        <v>416</v>
      </c>
      <c r="C4502" s="337">
        <v>38566</v>
      </c>
      <c r="D4502" s="338" t="s">
        <v>1445</v>
      </c>
      <c r="E4502" s="336" t="s">
        <v>1444</v>
      </c>
      <c r="F4502" s="338"/>
      <c r="G4502" s="338" t="s">
        <v>413</v>
      </c>
      <c r="H4502" s="338" t="s">
        <v>412</v>
      </c>
      <c r="I4502" s="338" t="s">
        <v>411</v>
      </c>
      <c r="J4502" s="339"/>
      <c r="K4502" s="339"/>
      <c r="L4502" s="339" t="s">
        <v>409</v>
      </c>
      <c r="M4502" s="339" t="s">
        <v>409</v>
      </c>
      <c r="N4502" s="338" t="s">
        <v>417</v>
      </c>
      <c r="O4502" s="338" t="s">
        <v>409</v>
      </c>
      <c r="P4502" s="338"/>
    </row>
    <row r="4503" spans="2:16" x14ac:dyDescent="0.25">
      <c r="B4503" s="336" t="s">
        <v>416</v>
      </c>
      <c r="C4503" s="337">
        <v>38566</v>
      </c>
      <c r="D4503" s="338" t="s">
        <v>1443</v>
      </c>
      <c r="E4503" s="336" t="s">
        <v>1442</v>
      </c>
      <c r="F4503" s="338"/>
      <c r="G4503" s="338">
        <v>8</v>
      </c>
      <c r="H4503" s="338" t="s">
        <v>425</v>
      </c>
      <c r="I4503" s="338" t="s">
        <v>411</v>
      </c>
      <c r="J4503" s="339"/>
      <c r="K4503" s="339"/>
      <c r="L4503" s="339" t="s">
        <v>409</v>
      </c>
      <c r="M4503" s="339" t="s">
        <v>409</v>
      </c>
      <c r="N4503" s="338" t="s">
        <v>417</v>
      </c>
      <c r="O4503" s="338" t="s">
        <v>409</v>
      </c>
      <c r="P4503" s="338" t="s">
        <v>417</v>
      </c>
    </row>
    <row r="4504" spans="2:16" x14ac:dyDescent="0.25">
      <c r="B4504" s="336" t="s">
        <v>1441</v>
      </c>
      <c r="C4504" s="337">
        <v>38565</v>
      </c>
      <c r="D4504" s="338" t="s">
        <v>1440</v>
      </c>
      <c r="E4504" s="336" t="s">
        <v>1439</v>
      </c>
      <c r="F4504" s="338"/>
      <c r="G4504" s="338" t="s">
        <v>413</v>
      </c>
      <c r="H4504" s="338" t="s">
        <v>412</v>
      </c>
      <c r="I4504" s="338" t="s">
        <v>411</v>
      </c>
      <c r="J4504" s="339"/>
      <c r="K4504" s="339"/>
      <c r="L4504" s="339" t="s">
        <v>409</v>
      </c>
      <c r="M4504" s="339" t="s">
        <v>409</v>
      </c>
      <c r="N4504" s="338" t="s">
        <v>417</v>
      </c>
      <c r="O4504" s="338" t="s">
        <v>409</v>
      </c>
      <c r="P4504" s="338" t="s">
        <v>417</v>
      </c>
    </row>
    <row r="4505" spans="2:16" x14ac:dyDescent="0.25">
      <c r="B4505" s="336" t="s">
        <v>416</v>
      </c>
      <c r="C4505" s="337">
        <v>38562</v>
      </c>
      <c r="D4505" s="338" t="s">
        <v>1438</v>
      </c>
      <c r="E4505" s="336" t="s">
        <v>1437</v>
      </c>
      <c r="F4505" s="338"/>
      <c r="G4505" s="338" t="s">
        <v>413</v>
      </c>
      <c r="H4505" s="338" t="s">
        <v>412</v>
      </c>
      <c r="I4505" s="338" t="s">
        <v>411</v>
      </c>
      <c r="J4505" s="339"/>
      <c r="K4505" s="339"/>
      <c r="L4505" s="339" t="s">
        <v>409</v>
      </c>
      <c r="M4505" s="339" t="s">
        <v>409</v>
      </c>
      <c r="N4505" s="338" t="s">
        <v>417</v>
      </c>
      <c r="O4505" s="338" t="s">
        <v>409</v>
      </c>
      <c r="P4505" s="338" t="s">
        <v>417</v>
      </c>
    </row>
    <row r="4506" spans="2:16" x14ac:dyDescent="0.25">
      <c r="B4506" s="336" t="s">
        <v>416</v>
      </c>
      <c r="C4506" s="337">
        <v>38562</v>
      </c>
      <c r="D4506" s="338" t="s">
        <v>875</v>
      </c>
      <c r="E4506" s="336" t="s">
        <v>874</v>
      </c>
      <c r="F4506" s="338"/>
      <c r="G4506" s="338" t="s">
        <v>413</v>
      </c>
      <c r="H4506" s="338" t="s">
        <v>412</v>
      </c>
      <c r="I4506" s="338" t="s">
        <v>411</v>
      </c>
      <c r="J4506" s="339"/>
      <c r="K4506" s="339"/>
      <c r="L4506" s="339" t="s">
        <v>409</v>
      </c>
      <c r="M4506" s="339" t="s">
        <v>409</v>
      </c>
      <c r="N4506" s="338"/>
      <c r="O4506" s="338" t="s">
        <v>409</v>
      </c>
      <c r="P4506" s="338" t="s">
        <v>417</v>
      </c>
    </row>
    <row r="4507" spans="2:16" x14ac:dyDescent="0.25">
      <c r="B4507" s="336" t="s">
        <v>416</v>
      </c>
      <c r="C4507" s="337">
        <v>38562</v>
      </c>
      <c r="D4507" s="338" t="s">
        <v>1436</v>
      </c>
      <c r="E4507" s="336" t="s">
        <v>1435</v>
      </c>
      <c r="F4507" s="338" t="s">
        <v>1434</v>
      </c>
      <c r="G4507" s="338">
        <v>14</v>
      </c>
      <c r="H4507" s="338" t="s">
        <v>425</v>
      </c>
      <c r="I4507" s="338" t="s">
        <v>411</v>
      </c>
      <c r="J4507" s="339"/>
      <c r="K4507" s="339"/>
      <c r="L4507" s="339"/>
      <c r="M4507" s="339"/>
      <c r="N4507" s="338"/>
      <c r="O4507" s="338" t="s">
        <v>443</v>
      </c>
      <c r="P4507" s="338" t="s">
        <v>410</v>
      </c>
    </row>
    <row r="4508" spans="2:16" x14ac:dyDescent="0.25">
      <c r="B4508" s="336" t="s">
        <v>416</v>
      </c>
      <c r="C4508" s="337">
        <v>38562</v>
      </c>
      <c r="D4508" s="338" t="s">
        <v>1433</v>
      </c>
      <c r="E4508" s="336" t="s">
        <v>1432</v>
      </c>
      <c r="F4508" s="338"/>
      <c r="G4508" s="338" t="s">
        <v>413</v>
      </c>
      <c r="H4508" s="338" t="s">
        <v>412</v>
      </c>
      <c r="I4508" s="338" t="s">
        <v>411</v>
      </c>
      <c r="J4508" s="339"/>
      <c r="K4508" s="339"/>
      <c r="L4508" s="339" t="s">
        <v>409</v>
      </c>
      <c r="M4508" s="339" t="s">
        <v>409</v>
      </c>
      <c r="N4508" s="338" t="s">
        <v>410</v>
      </c>
      <c r="O4508" s="338" t="s">
        <v>409</v>
      </c>
      <c r="P4508" s="338" t="s">
        <v>410</v>
      </c>
    </row>
    <row r="4509" spans="2:16" x14ac:dyDescent="0.25">
      <c r="B4509" s="336" t="s">
        <v>416</v>
      </c>
      <c r="C4509" s="337">
        <v>38561</v>
      </c>
      <c r="D4509" s="338" t="s">
        <v>1431</v>
      </c>
      <c r="E4509" s="336" t="s">
        <v>1430</v>
      </c>
      <c r="F4509" s="338"/>
      <c r="G4509" s="338" t="s">
        <v>413</v>
      </c>
      <c r="H4509" s="338" t="s">
        <v>507</v>
      </c>
      <c r="I4509" s="338" t="s">
        <v>411</v>
      </c>
      <c r="J4509" s="339"/>
      <c r="K4509" s="339"/>
      <c r="L4509" s="339" t="s">
        <v>409</v>
      </c>
      <c r="M4509" s="339" t="s">
        <v>409</v>
      </c>
      <c r="N4509" s="338" t="s">
        <v>417</v>
      </c>
      <c r="O4509" s="338" t="s">
        <v>409</v>
      </c>
      <c r="P4509" s="338" t="s">
        <v>432</v>
      </c>
    </row>
    <row r="4510" spans="2:16" x14ac:dyDescent="0.25">
      <c r="B4510" s="336" t="s">
        <v>416</v>
      </c>
      <c r="C4510" s="337">
        <v>38561</v>
      </c>
      <c r="D4510" s="338" t="s">
        <v>1429</v>
      </c>
      <c r="E4510" s="336" t="s">
        <v>1428</v>
      </c>
      <c r="F4510" s="338"/>
      <c r="G4510" s="338" t="s">
        <v>413</v>
      </c>
      <c r="H4510" s="338" t="s">
        <v>336</v>
      </c>
      <c r="I4510" s="338" t="s">
        <v>411</v>
      </c>
      <c r="J4510" s="339"/>
      <c r="K4510" s="339"/>
      <c r="L4510" s="339" t="s">
        <v>409</v>
      </c>
      <c r="M4510" s="339" t="s">
        <v>409</v>
      </c>
      <c r="N4510" s="338" t="s">
        <v>410</v>
      </c>
      <c r="O4510" s="338" t="s">
        <v>409</v>
      </c>
      <c r="P4510" s="338" t="s">
        <v>410</v>
      </c>
    </row>
    <row r="4511" spans="2:16" x14ac:dyDescent="0.25">
      <c r="B4511" s="336" t="s">
        <v>416</v>
      </c>
      <c r="C4511" s="337">
        <v>38560</v>
      </c>
      <c r="D4511" s="338" t="s">
        <v>1427</v>
      </c>
      <c r="E4511" s="336" t="s">
        <v>1426</v>
      </c>
      <c r="F4511" s="338"/>
      <c r="G4511" s="338" t="s">
        <v>413</v>
      </c>
      <c r="H4511" s="338" t="s">
        <v>412</v>
      </c>
      <c r="I4511" s="338" t="s">
        <v>411</v>
      </c>
      <c r="J4511" s="339"/>
      <c r="K4511" s="339"/>
      <c r="L4511" s="339" t="s">
        <v>409</v>
      </c>
      <c r="M4511" s="339" t="s">
        <v>409</v>
      </c>
      <c r="N4511" s="338" t="s">
        <v>417</v>
      </c>
      <c r="O4511" s="338" t="s">
        <v>409</v>
      </c>
      <c r="P4511" s="338" t="s">
        <v>417</v>
      </c>
    </row>
    <row r="4512" spans="2:16" x14ac:dyDescent="0.25">
      <c r="B4512" s="336" t="s">
        <v>416</v>
      </c>
      <c r="C4512" s="337">
        <v>38560</v>
      </c>
      <c r="D4512" s="338" t="s">
        <v>1425</v>
      </c>
      <c r="E4512" s="336" t="s">
        <v>834</v>
      </c>
      <c r="F4512" s="338"/>
      <c r="G4512" s="338">
        <v>90</v>
      </c>
      <c r="H4512" s="338" t="s">
        <v>425</v>
      </c>
      <c r="I4512" s="338" t="s">
        <v>411</v>
      </c>
      <c r="J4512" s="339"/>
      <c r="K4512" s="339"/>
      <c r="L4512" s="339" t="s">
        <v>409</v>
      </c>
      <c r="M4512" s="339" t="s">
        <v>409</v>
      </c>
      <c r="N4512" s="338" t="s">
        <v>417</v>
      </c>
      <c r="O4512" s="338" t="s">
        <v>409</v>
      </c>
      <c r="P4512" s="338" t="s">
        <v>417</v>
      </c>
    </row>
    <row r="4513" spans="2:16" x14ac:dyDescent="0.25">
      <c r="B4513" s="336" t="s">
        <v>416</v>
      </c>
      <c r="C4513" s="337">
        <v>38559</v>
      </c>
      <c r="D4513" s="338" t="s">
        <v>1424</v>
      </c>
      <c r="E4513" s="336" t="s">
        <v>1421</v>
      </c>
      <c r="F4513" s="338"/>
      <c r="G4513" s="338">
        <v>88</v>
      </c>
      <c r="H4513" s="338" t="s">
        <v>425</v>
      </c>
      <c r="I4513" s="338" t="s">
        <v>411</v>
      </c>
      <c r="J4513" s="339"/>
      <c r="K4513" s="339"/>
      <c r="L4513" s="339" t="s">
        <v>409</v>
      </c>
      <c r="M4513" s="339" t="s">
        <v>409</v>
      </c>
      <c r="N4513" s="338" t="s">
        <v>410</v>
      </c>
      <c r="O4513" s="338" t="s">
        <v>409</v>
      </c>
      <c r="P4513" s="338" t="s">
        <v>417</v>
      </c>
    </row>
    <row r="4514" spans="2:16" x14ac:dyDescent="0.25">
      <c r="B4514" s="336" t="s">
        <v>416</v>
      </c>
      <c r="C4514" s="337">
        <v>38559</v>
      </c>
      <c r="D4514" s="338" t="s">
        <v>1423</v>
      </c>
      <c r="E4514" s="336" t="s">
        <v>1422</v>
      </c>
      <c r="F4514" s="338"/>
      <c r="G4514" s="338" t="s">
        <v>413</v>
      </c>
      <c r="H4514" s="338" t="s">
        <v>425</v>
      </c>
      <c r="I4514" s="338" t="s">
        <v>411</v>
      </c>
      <c r="J4514" s="339"/>
      <c r="K4514" s="339"/>
      <c r="L4514" s="339" t="s">
        <v>409</v>
      </c>
      <c r="M4514" s="339" t="s">
        <v>409</v>
      </c>
      <c r="N4514" s="338" t="s">
        <v>417</v>
      </c>
      <c r="O4514" s="338" t="s">
        <v>409</v>
      </c>
      <c r="P4514" s="338" t="s">
        <v>417</v>
      </c>
    </row>
    <row r="4515" spans="2:16" x14ac:dyDescent="0.25">
      <c r="B4515" s="336" t="s">
        <v>416</v>
      </c>
      <c r="C4515" s="337">
        <v>38559</v>
      </c>
      <c r="D4515" s="338" t="s">
        <v>1421</v>
      </c>
      <c r="E4515" s="336" t="s">
        <v>1420</v>
      </c>
      <c r="F4515" s="338"/>
      <c r="G4515" s="338">
        <v>103.65</v>
      </c>
      <c r="H4515" s="338" t="s">
        <v>425</v>
      </c>
      <c r="I4515" s="338" t="s">
        <v>411</v>
      </c>
      <c r="J4515" s="339">
        <v>0.37520999999999999</v>
      </c>
      <c r="K4515" s="339">
        <v>2.8349799999999998</v>
      </c>
      <c r="L4515" s="339" t="s">
        <v>409</v>
      </c>
      <c r="M4515" s="339" t="s">
        <v>409</v>
      </c>
      <c r="N4515" s="338" t="s">
        <v>417</v>
      </c>
      <c r="O4515" s="338" t="s">
        <v>409</v>
      </c>
      <c r="P4515" s="338" t="s">
        <v>443</v>
      </c>
    </row>
    <row r="4516" spans="2:16" x14ac:dyDescent="0.25">
      <c r="B4516" s="336" t="s">
        <v>416</v>
      </c>
      <c r="C4516" s="337">
        <v>38559</v>
      </c>
      <c r="D4516" s="338" t="s">
        <v>1419</v>
      </c>
      <c r="E4516" s="336" t="s">
        <v>1281</v>
      </c>
      <c r="F4516" s="338"/>
      <c r="G4516" s="338">
        <v>34</v>
      </c>
      <c r="H4516" s="338" t="s">
        <v>425</v>
      </c>
      <c r="I4516" s="338" t="s">
        <v>411</v>
      </c>
      <c r="J4516" s="339"/>
      <c r="K4516" s="339"/>
      <c r="L4516" s="339" t="s">
        <v>409</v>
      </c>
      <c r="M4516" s="339" t="s">
        <v>409</v>
      </c>
      <c r="N4516" s="338" t="s">
        <v>417</v>
      </c>
      <c r="O4516" s="338" t="s">
        <v>409</v>
      </c>
      <c r="P4516" s="338" t="s">
        <v>605</v>
      </c>
    </row>
    <row r="4517" spans="2:16" x14ac:dyDescent="0.25">
      <c r="B4517" s="336" t="s">
        <v>416</v>
      </c>
      <c r="C4517" s="337">
        <v>38555</v>
      </c>
      <c r="D4517" s="338" t="s">
        <v>1418</v>
      </c>
      <c r="E4517" s="336" t="s">
        <v>1417</v>
      </c>
      <c r="F4517" s="338"/>
      <c r="G4517" s="338">
        <v>19</v>
      </c>
      <c r="H4517" s="338" t="s">
        <v>425</v>
      </c>
      <c r="I4517" s="338" t="s">
        <v>411</v>
      </c>
      <c r="J4517" s="339"/>
      <c r="K4517" s="339"/>
      <c r="L4517" s="339" t="s">
        <v>409</v>
      </c>
      <c r="M4517" s="339" t="s">
        <v>409</v>
      </c>
      <c r="N4517" s="338" t="s">
        <v>417</v>
      </c>
      <c r="O4517" s="338" t="s">
        <v>409</v>
      </c>
      <c r="P4517" s="338" t="s">
        <v>417</v>
      </c>
    </row>
    <row r="4518" spans="2:16" x14ac:dyDescent="0.25">
      <c r="B4518" s="336" t="s">
        <v>416</v>
      </c>
      <c r="C4518" s="337">
        <v>38554</v>
      </c>
      <c r="D4518" s="338" t="s">
        <v>1416</v>
      </c>
      <c r="E4518" s="336" t="s">
        <v>1415</v>
      </c>
      <c r="F4518" s="338" t="s">
        <v>1414</v>
      </c>
      <c r="G4518" s="338">
        <v>82.61</v>
      </c>
      <c r="H4518" s="338" t="s">
        <v>429</v>
      </c>
      <c r="I4518" s="338" t="s">
        <v>411</v>
      </c>
      <c r="J4518" s="339"/>
      <c r="K4518" s="339"/>
      <c r="L4518" s="339"/>
      <c r="M4518" s="339"/>
      <c r="N4518" s="338"/>
      <c r="O4518" s="338" t="s">
        <v>417</v>
      </c>
      <c r="P4518" s="338" t="s">
        <v>417</v>
      </c>
    </row>
    <row r="4519" spans="2:16" x14ac:dyDescent="0.25">
      <c r="B4519" s="336" t="s">
        <v>416</v>
      </c>
      <c r="C4519" s="337">
        <v>38554</v>
      </c>
      <c r="D4519" s="338" t="s">
        <v>1413</v>
      </c>
      <c r="E4519" s="336" t="s">
        <v>1412</v>
      </c>
      <c r="F4519" s="338" t="s">
        <v>1411</v>
      </c>
      <c r="G4519" s="338" t="s">
        <v>413</v>
      </c>
      <c r="H4519" s="338" t="s">
        <v>412</v>
      </c>
      <c r="I4519" s="338" t="s">
        <v>411</v>
      </c>
      <c r="J4519" s="339"/>
      <c r="K4519" s="339"/>
      <c r="L4519" s="339"/>
      <c r="M4519" s="339"/>
      <c r="N4519" s="338"/>
      <c r="O4519" s="338" t="s">
        <v>417</v>
      </c>
      <c r="P4519" s="338" t="s">
        <v>543</v>
      </c>
    </row>
    <row r="4520" spans="2:16" x14ac:dyDescent="0.25">
      <c r="B4520" s="336" t="s">
        <v>416</v>
      </c>
      <c r="C4520" s="337">
        <v>38553</v>
      </c>
      <c r="D4520" s="338" t="s">
        <v>1410</v>
      </c>
      <c r="E4520" s="336" t="s">
        <v>1409</v>
      </c>
      <c r="F4520" s="338"/>
      <c r="G4520" s="338">
        <v>30.02</v>
      </c>
      <c r="H4520" s="338" t="s">
        <v>429</v>
      </c>
      <c r="I4520" s="338" t="s">
        <v>411</v>
      </c>
      <c r="J4520" s="339"/>
      <c r="K4520" s="339"/>
      <c r="L4520" s="339" t="s">
        <v>409</v>
      </c>
      <c r="M4520" s="339" t="s">
        <v>409</v>
      </c>
      <c r="N4520" s="338" t="s">
        <v>417</v>
      </c>
      <c r="O4520" s="338" t="s">
        <v>409</v>
      </c>
      <c r="P4520" s="338" t="s">
        <v>417</v>
      </c>
    </row>
    <row r="4521" spans="2:16" x14ac:dyDescent="0.25">
      <c r="B4521" s="336" t="s">
        <v>459</v>
      </c>
      <c r="C4521" s="337">
        <v>38552</v>
      </c>
      <c r="D4521" s="338" t="s">
        <v>558</v>
      </c>
      <c r="E4521" s="336" t="s">
        <v>1408</v>
      </c>
      <c r="F4521" s="338"/>
      <c r="G4521" s="338">
        <v>12</v>
      </c>
      <c r="H4521" s="338" t="s">
        <v>425</v>
      </c>
      <c r="I4521" s="338" t="s">
        <v>411</v>
      </c>
      <c r="J4521" s="339"/>
      <c r="K4521" s="339"/>
      <c r="L4521" s="339" t="s">
        <v>409</v>
      </c>
      <c r="M4521" s="339" t="s">
        <v>409</v>
      </c>
      <c r="N4521" s="338" t="s">
        <v>417</v>
      </c>
      <c r="O4521" s="338" t="s">
        <v>409</v>
      </c>
      <c r="P4521" s="338"/>
    </row>
    <row r="4522" spans="2:16" x14ac:dyDescent="0.25">
      <c r="B4522" s="336" t="s">
        <v>416</v>
      </c>
      <c r="C4522" s="337">
        <v>38552</v>
      </c>
      <c r="D4522" s="338" t="s">
        <v>1407</v>
      </c>
      <c r="E4522" s="336" t="s">
        <v>831</v>
      </c>
      <c r="F4522" s="338" t="s">
        <v>1406</v>
      </c>
      <c r="G4522" s="338">
        <v>1350</v>
      </c>
      <c r="H4522" s="338" t="s">
        <v>425</v>
      </c>
      <c r="I4522" s="338" t="s">
        <v>411</v>
      </c>
      <c r="J4522" s="339"/>
      <c r="K4522" s="339"/>
      <c r="L4522" s="339"/>
      <c r="M4522" s="339"/>
      <c r="N4522" s="338" t="s">
        <v>487</v>
      </c>
      <c r="O4522" s="338"/>
      <c r="P4522" s="338" t="s">
        <v>417</v>
      </c>
    </row>
    <row r="4523" spans="2:16" x14ac:dyDescent="0.25">
      <c r="B4523" s="336" t="s">
        <v>416</v>
      </c>
      <c r="C4523" s="337">
        <v>38552</v>
      </c>
      <c r="D4523" s="338" t="s">
        <v>1405</v>
      </c>
      <c r="E4523" s="336" t="s">
        <v>1404</v>
      </c>
      <c r="F4523" s="338" t="s">
        <v>1403</v>
      </c>
      <c r="G4523" s="338" t="s">
        <v>413</v>
      </c>
      <c r="H4523" s="338" t="s">
        <v>412</v>
      </c>
      <c r="I4523" s="338" t="s">
        <v>411</v>
      </c>
      <c r="J4523" s="339"/>
      <c r="K4523" s="339"/>
      <c r="L4523" s="339">
        <v>0.37032799999999999</v>
      </c>
      <c r="M4523" s="339">
        <v>6.0799500000000002</v>
      </c>
      <c r="N4523" s="338"/>
      <c r="O4523" s="338" t="s">
        <v>417</v>
      </c>
      <c r="P4523" s="338" t="s">
        <v>443</v>
      </c>
    </row>
    <row r="4524" spans="2:16" x14ac:dyDescent="0.25">
      <c r="B4524" s="336" t="s">
        <v>416</v>
      </c>
      <c r="C4524" s="337">
        <v>38552</v>
      </c>
      <c r="D4524" s="338" t="s">
        <v>1402</v>
      </c>
      <c r="E4524" s="336" t="s">
        <v>580</v>
      </c>
      <c r="F4524" s="338" t="s">
        <v>1401</v>
      </c>
      <c r="G4524" s="338" t="s">
        <v>413</v>
      </c>
      <c r="H4524" s="338" t="s">
        <v>412</v>
      </c>
      <c r="I4524" s="338" t="s">
        <v>411</v>
      </c>
      <c r="J4524" s="339"/>
      <c r="K4524" s="339"/>
      <c r="L4524" s="339"/>
      <c r="M4524" s="339"/>
      <c r="N4524" s="338"/>
      <c r="O4524" s="338" t="s">
        <v>417</v>
      </c>
      <c r="P4524" s="338" t="s">
        <v>417</v>
      </c>
    </row>
    <row r="4525" spans="2:16" x14ac:dyDescent="0.25">
      <c r="B4525" s="336" t="s">
        <v>416</v>
      </c>
      <c r="C4525" s="337">
        <v>38551</v>
      </c>
      <c r="D4525" s="338" t="s">
        <v>1400</v>
      </c>
      <c r="E4525" s="336" t="s">
        <v>485</v>
      </c>
      <c r="F4525" s="338"/>
      <c r="G4525" s="338" t="s">
        <v>413</v>
      </c>
      <c r="H4525" s="338" t="s">
        <v>336</v>
      </c>
      <c r="I4525" s="338" t="s">
        <v>411</v>
      </c>
      <c r="J4525" s="339"/>
      <c r="K4525" s="339"/>
      <c r="L4525" s="339" t="s">
        <v>409</v>
      </c>
      <c r="M4525" s="339" t="s">
        <v>409</v>
      </c>
      <c r="N4525" s="338" t="s">
        <v>432</v>
      </c>
      <c r="O4525" s="338" t="s">
        <v>409</v>
      </c>
      <c r="P4525" s="338" t="s">
        <v>417</v>
      </c>
    </row>
    <row r="4526" spans="2:16" x14ac:dyDescent="0.25">
      <c r="B4526" s="336" t="s">
        <v>459</v>
      </c>
      <c r="C4526" s="337">
        <v>38551</v>
      </c>
      <c r="D4526" s="338" t="s">
        <v>1399</v>
      </c>
      <c r="E4526" s="336" t="s">
        <v>1398</v>
      </c>
      <c r="F4526" s="338"/>
      <c r="G4526" s="338" t="s">
        <v>413</v>
      </c>
      <c r="H4526" s="338" t="s">
        <v>412</v>
      </c>
      <c r="I4526" s="338" t="s">
        <v>411</v>
      </c>
      <c r="J4526" s="339"/>
      <c r="K4526" s="339"/>
      <c r="L4526" s="339" t="s">
        <v>409</v>
      </c>
      <c r="M4526" s="339" t="s">
        <v>409</v>
      </c>
      <c r="N4526" s="338" t="s">
        <v>417</v>
      </c>
      <c r="O4526" s="338" t="s">
        <v>409</v>
      </c>
      <c r="P4526" s="338" t="s">
        <v>417</v>
      </c>
    </row>
    <row r="4527" spans="2:16" x14ac:dyDescent="0.25">
      <c r="B4527" s="336" t="s">
        <v>416</v>
      </c>
      <c r="C4527" s="337">
        <v>38551</v>
      </c>
      <c r="D4527" s="338" t="s">
        <v>956</v>
      </c>
      <c r="E4527" s="336" t="s">
        <v>1129</v>
      </c>
      <c r="F4527" s="338"/>
      <c r="G4527" s="338" t="s">
        <v>413</v>
      </c>
      <c r="H4527" s="338" t="s">
        <v>425</v>
      </c>
      <c r="I4527" s="338" t="s">
        <v>411</v>
      </c>
      <c r="J4527" s="339"/>
      <c r="K4527" s="339"/>
      <c r="L4527" s="339" t="s">
        <v>409</v>
      </c>
      <c r="M4527" s="339" t="s">
        <v>409</v>
      </c>
      <c r="N4527" s="338"/>
      <c r="O4527" s="338" t="s">
        <v>409</v>
      </c>
      <c r="P4527" s="338" t="s">
        <v>417</v>
      </c>
    </row>
    <row r="4528" spans="2:16" x14ac:dyDescent="0.25">
      <c r="B4528" s="336" t="s">
        <v>416</v>
      </c>
      <c r="C4528" s="337">
        <v>38551</v>
      </c>
      <c r="D4528" s="338" t="s">
        <v>1397</v>
      </c>
      <c r="E4528" s="336" t="s">
        <v>1396</v>
      </c>
      <c r="F4528" s="338"/>
      <c r="G4528" s="338" t="s">
        <v>413</v>
      </c>
      <c r="H4528" s="338" t="s">
        <v>336</v>
      </c>
      <c r="I4528" s="338" t="s">
        <v>411</v>
      </c>
      <c r="J4528" s="339"/>
      <c r="K4528" s="339"/>
      <c r="L4528" s="339" t="s">
        <v>409</v>
      </c>
      <c r="M4528" s="339" t="s">
        <v>409</v>
      </c>
      <c r="N4528" s="338" t="s">
        <v>417</v>
      </c>
      <c r="O4528" s="338" t="s">
        <v>409</v>
      </c>
      <c r="P4528" s="338" t="s">
        <v>417</v>
      </c>
    </row>
    <row r="4529" spans="2:16" x14ac:dyDescent="0.25">
      <c r="B4529" s="336" t="s">
        <v>416</v>
      </c>
      <c r="C4529" s="337">
        <v>38551</v>
      </c>
      <c r="D4529" s="338" t="s">
        <v>945</v>
      </c>
      <c r="E4529" s="336" t="s">
        <v>1395</v>
      </c>
      <c r="F4529" s="338" t="s">
        <v>525</v>
      </c>
      <c r="G4529" s="338" t="s">
        <v>413</v>
      </c>
      <c r="H4529" s="338" t="s">
        <v>336</v>
      </c>
      <c r="I4529" s="338" t="s">
        <v>411</v>
      </c>
      <c r="J4529" s="339"/>
      <c r="K4529" s="339"/>
      <c r="L4529" s="339"/>
      <c r="M4529" s="339"/>
      <c r="N4529" s="338"/>
      <c r="O4529" s="338" t="s">
        <v>417</v>
      </c>
      <c r="P4529" s="338" t="s">
        <v>417</v>
      </c>
    </row>
    <row r="4530" spans="2:16" x14ac:dyDescent="0.25">
      <c r="B4530" s="336" t="s">
        <v>459</v>
      </c>
      <c r="C4530" s="337">
        <v>38551</v>
      </c>
      <c r="D4530" s="338" t="s">
        <v>1394</v>
      </c>
      <c r="E4530" s="336" t="s">
        <v>1393</v>
      </c>
      <c r="F4530" s="338"/>
      <c r="G4530" s="338">
        <v>20</v>
      </c>
      <c r="H4530" s="338" t="s">
        <v>425</v>
      </c>
      <c r="I4530" s="338" t="s">
        <v>411</v>
      </c>
      <c r="J4530" s="339"/>
      <c r="K4530" s="339"/>
      <c r="L4530" s="339" t="s">
        <v>409</v>
      </c>
      <c r="M4530" s="339" t="s">
        <v>409</v>
      </c>
      <c r="N4530" s="338" t="s">
        <v>417</v>
      </c>
      <c r="O4530" s="338" t="s">
        <v>409</v>
      </c>
      <c r="P4530" s="338"/>
    </row>
    <row r="4531" spans="2:16" x14ac:dyDescent="0.25">
      <c r="B4531" s="336" t="s">
        <v>416</v>
      </c>
      <c r="C4531" s="337">
        <v>38551</v>
      </c>
      <c r="D4531" s="338" t="s">
        <v>1392</v>
      </c>
      <c r="E4531" s="336" t="s">
        <v>1391</v>
      </c>
      <c r="F4531" s="338" t="s">
        <v>1390</v>
      </c>
      <c r="G4531" s="338" t="s">
        <v>413</v>
      </c>
      <c r="H4531" s="338" t="s">
        <v>412</v>
      </c>
      <c r="I4531" s="338" t="s">
        <v>411</v>
      </c>
      <c r="J4531" s="339"/>
      <c r="K4531" s="339"/>
      <c r="L4531" s="339"/>
      <c r="M4531" s="339"/>
      <c r="N4531" s="338"/>
      <c r="O4531" s="338" t="s">
        <v>417</v>
      </c>
      <c r="P4531" s="338" t="s">
        <v>417</v>
      </c>
    </row>
    <row r="4532" spans="2:16" x14ac:dyDescent="0.25">
      <c r="B4532" s="336" t="s">
        <v>416</v>
      </c>
      <c r="C4532" s="337">
        <v>38551</v>
      </c>
      <c r="D4532" s="338" t="s">
        <v>1389</v>
      </c>
      <c r="E4532" s="336" t="s">
        <v>1088</v>
      </c>
      <c r="F4532" s="338" t="s">
        <v>1388</v>
      </c>
      <c r="G4532" s="338">
        <v>0.4</v>
      </c>
      <c r="H4532" s="338" t="s">
        <v>429</v>
      </c>
      <c r="I4532" s="338" t="s">
        <v>411</v>
      </c>
      <c r="J4532" s="339"/>
      <c r="K4532" s="339"/>
      <c r="L4532" s="339"/>
      <c r="M4532" s="339"/>
      <c r="N4532" s="338"/>
      <c r="O4532" s="338" t="s">
        <v>605</v>
      </c>
      <c r="P4532" s="338" t="s">
        <v>417</v>
      </c>
    </row>
    <row r="4533" spans="2:16" x14ac:dyDescent="0.25">
      <c r="B4533" s="336" t="s">
        <v>416</v>
      </c>
      <c r="C4533" s="337">
        <v>38548</v>
      </c>
      <c r="D4533" s="338" t="s">
        <v>1387</v>
      </c>
      <c r="E4533" s="336" t="s">
        <v>1386</v>
      </c>
      <c r="F4533" s="338" t="s">
        <v>1385</v>
      </c>
      <c r="G4533" s="338">
        <v>40</v>
      </c>
      <c r="H4533" s="338" t="s">
        <v>425</v>
      </c>
      <c r="I4533" s="338" t="s">
        <v>411</v>
      </c>
      <c r="J4533" s="339"/>
      <c r="K4533" s="339"/>
      <c r="L4533" s="339"/>
      <c r="M4533" s="339"/>
      <c r="N4533" s="338"/>
      <c r="O4533" s="338" t="s">
        <v>432</v>
      </c>
      <c r="P4533" s="338" t="s">
        <v>417</v>
      </c>
    </row>
    <row r="4534" spans="2:16" x14ac:dyDescent="0.25">
      <c r="B4534" s="336" t="s">
        <v>416</v>
      </c>
      <c r="C4534" s="337">
        <v>38548</v>
      </c>
      <c r="D4534" s="338" t="s">
        <v>1384</v>
      </c>
      <c r="E4534" s="336" t="s">
        <v>1383</v>
      </c>
      <c r="F4534" s="338" t="s">
        <v>1382</v>
      </c>
      <c r="G4534" s="338">
        <v>0.62</v>
      </c>
      <c r="H4534" s="338" t="s">
        <v>507</v>
      </c>
      <c r="I4534" s="338" t="s">
        <v>411</v>
      </c>
      <c r="J4534" s="339"/>
      <c r="K4534" s="339"/>
      <c r="L4534" s="339"/>
      <c r="M4534" s="339">
        <v>7.6090299999999997</v>
      </c>
      <c r="N4534" s="338" t="s">
        <v>417</v>
      </c>
      <c r="O4534" s="338" t="s">
        <v>543</v>
      </c>
      <c r="P4534" s="338" t="s">
        <v>605</v>
      </c>
    </row>
    <row r="4535" spans="2:16" x14ac:dyDescent="0.25">
      <c r="B4535" s="336" t="s">
        <v>416</v>
      </c>
      <c r="C4535" s="337">
        <v>38547</v>
      </c>
      <c r="D4535" s="338" t="s">
        <v>1381</v>
      </c>
      <c r="E4535" s="336" t="s">
        <v>856</v>
      </c>
      <c r="F4535" s="338"/>
      <c r="G4535" s="338">
        <v>27</v>
      </c>
      <c r="H4535" s="338" t="s">
        <v>425</v>
      </c>
      <c r="I4535" s="338" t="s">
        <v>411</v>
      </c>
      <c r="J4535" s="339"/>
      <c r="K4535" s="339"/>
      <c r="L4535" s="339" t="s">
        <v>409</v>
      </c>
      <c r="M4535" s="339" t="s">
        <v>409</v>
      </c>
      <c r="N4535" s="338" t="s">
        <v>417</v>
      </c>
      <c r="O4535" s="338" t="s">
        <v>409</v>
      </c>
      <c r="P4535" s="338" t="s">
        <v>417</v>
      </c>
    </row>
    <row r="4536" spans="2:16" x14ac:dyDescent="0.25">
      <c r="B4536" s="336" t="s">
        <v>416</v>
      </c>
      <c r="C4536" s="337">
        <v>38547</v>
      </c>
      <c r="D4536" s="338" t="s">
        <v>1380</v>
      </c>
      <c r="E4536" s="336" t="s">
        <v>718</v>
      </c>
      <c r="F4536" s="338" t="s">
        <v>1379</v>
      </c>
      <c r="G4536" s="338" t="s">
        <v>413</v>
      </c>
      <c r="H4536" s="338" t="s">
        <v>412</v>
      </c>
      <c r="I4536" s="338" t="s">
        <v>411</v>
      </c>
      <c r="J4536" s="339"/>
      <c r="K4536" s="339"/>
      <c r="L4536" s="339">
        <v>4.7895500000000002</v>
      </c>
      <c r="M4536" s="339">
        <v>11.664199999999999</v>
      </c>
      <c r="N4536" s="338"/>
      <c r="O4536" s="338" t="s">
        <v>417</v>
      </c>
      <c r="P4536" s="338" t="s">
        <v>417</v>
      </c>
    </row>
    <row r="4537" spans="2:16" x14ac:dyDescent="0.25">
      <c r="B4537" s="336" t="s">
        <v>416</v>
      </c>
      <c r="C4537" s="337">
        <v>38546</v>
      </c>
      <c r="D4537" s="338" t="s">
        <v>1111</v>
      </c>
      <c r="E4537" s="336" t="s">
        <v>1378</v>
      </c>
      <c r="F4537" s="338"/>
      <c r="G4537" s="338" t="s">
        <v>413</v>
      </c>
      <c r="H4537" s="338" t="s">
        <v>412</v>
      </c>
      <c r="I4537" s="338" t="s">
        <v>411</v>
      </c>
      <c r="J4537" s="339"/>
      <c r="K4537" s="339"/>
      <c r="L4537" s="339" t="s">
        <v>409</v>
      </c>
      <c r="M4537" s="339" t="s">
        <v>409</v>
      </c>
      <c r="N4537" s="338" t="s">
        <v>417</v>
      </c>
      <c r="O4537" s="338" t="s">
        <v>409</v>
      </c>
      <c r="P4537" s="338" t="s">
        <v>432</v>
      </c>
    </row>
    <row r="4538" spans="2:16" x14ac:dyDescent="0.25">
      <c r="B4538" s="336" t="s">
        <v>416</v>
      </c>
      <c r="C4538" s="337">
        <v>38545</v>
      </c>
      <c r="D4538" s="338" t="s">
        <v>1377</v>
      </c>
      <c r="E4538" s="336" t="s">
        <v>1376</v>
      </c>
      <c r="F4538" s="338"/>
      <c r="G4538" s="338" t="s">
        <v>413</v>
      </c>
      <c r="H4538" s="338" t="s">
        <v>412</v>
      </c>
      <c r="I4538" s="338" t="s">
        <v>411</v>
      </c>
      <c r="J4538" s="339"/>
      <c r="K4538" s="339"/>
      <c r="L4538" s="339" t="s">
        <v>409</v>
      </c>
      <c r="M4538" s="339" t="s">
        <v>409</v>
      </c>
      <c r="N4538" s="338" t="s">
        <v>417</v>
      </c>
      <c r="O4538" s="338" t="s">
        <v>409</v>
      </c>
      <c r="P4538" s="338" t="s">
        <v>443</v>
      </c>
    </row>
    <row r="4539" spans="2:16" x14ac:dyDescent="0.25">
      <c r="B4539" s="336" t="s">
        <v>416</v>
      </c>
      <c r="C4539" s="337">
        <v>38545</v>
      </c>
      <c r="D4539" s="338" t="s">
        <v>1375</v>
      </c>
      <c r="E4539" s="336" t="s">
        <v>1374</v>
      </c>
      <c r="F4539" s="338" t="s">
        <v>1373</v>
      </c>
      <c r="G4539" s="338" t="s">
        <v>413</v>
      </c>
      <c r="H4539" s="338" t="s">
        <v>412</v>
      </c>
      <c r="I4539" s="338" t="s">
        <v>411</v>
      </c>
      <c r="J4539" s="339"/>
      <c r="K4539" s="339"/>
      <c r="L4539" s="339">
        <v>3.72275</v>
      </c>
      <c r="M4539" s="339">
        <v>16.232900000000001</v>
      </c>
      <c r="N4539" s="338"/>
      <c r="O4539" s="338" t="s">
        <v>410</v>
      </c>
      <c r="P4539" s="338" t="s">
        <v>410</v>
      </c>
    </row>
    <row r="4540" spans="2:16" x14ac:dyDescent="0.25">
      <c r="B4540" s="336" t="s">
        <v>416</v>
      </c>
      <c r="C4540" s="337">
        <v>38545</v>
      </c>
      <c r="D4540" s="338" t="s">
        <v>1372</v>
      </c>
      <c r="E4540" s="336" t="s">
        <v>1371</v>
      </c>
      <c r="F4540" s="338"/>
      <c r="G4540" s="338">
        <v>58.52</v>
      </c>
      <c r="H4540" s="338" t="s">
        <v>336</v>
      </c>
      <c r="I4540" s="338" t="s">
        <v>411</v>
      </c>
      <c r="J4540" s="339"/>
      <c r="K4540" s="339"/>
      <c r="L4540" s="339" t="s">
        <v>409</v>
      </c>
      <c r="M4540" s="339" t="s">
        <v>409</v>
      </c>
      <c r="N4540" s="338" t="s">
        <v>417</v>
      </c>
      <c r="O4540" s="338" t="s">
        <v>409</v>
      </c>
      <c r="P4540" s="338" t="s">
        <v>417</v>
      </c>
    </row>
    <row r="4541" spans="2:16" x14ac:dyDescent="0.25">
      <c r="B4541" s="336" t="s">
        <v>416</v>
      </c>
      <c r="C4541" s="337">
        <v>38544</v>
      </c>
      <c r="D4541" s="338" t="s">
        <v>1370</v>
      </c>
      <c r="E4541" s="336" t="s">
        <v>656</v>
      </c>
      <c r="F4541" s="338" t="s">
        <v>1369</v>
      </c>
      <c r="G4541" s="338">
        <v>205</v>
      </c>
      <c r="H4541" s="338" t="s">
        <v>425</v>
      </c>
      <c r="I4541" s="338" t="s">
        <v>411</v>
      </c>
      <c r="J4541" s="339"/>
      <c r="K4541" s="339"/>
      <c r="L4541" s="339"/>
      <c r="M4541" s="339"/>
      <c r="N4541" s="338" t="s">
        <v>408</v>
      </c>
      <c r="O4541" s="338" t="s">
        <v>443</v>
      </c>
      <c r="P4541" s="338" t="s">
        <v>408</v>
      </c>
    </row>
    <row r="4542" spans="2:16" x14ac:dyDescent="0.25">
      <c r="B4542" s="336" t="s">
        <v>416</v>
      </c>
      <c r="C4542" s="337">
        <v>38540</v>
      </c>
      <c r="D4542" s="338" t="s">
        <v>1368</v>
      </c>
      <c r="E4542" s="336" t="s">
        <v>1367</v>
      </c>
      <c r="F4542" s="338"/>
      <c r="G4542" s="338">
        <v>7.05</v>
      </c>
      <c r="H4542" s="338" t="s">
        <v>425</v>
      </c>
      <c r="I4542" s="338" t="s">
        <v>411</v>
      </c>
      <c r="J4542" s="339"/>
      <c r="K4542" s="339"/>
      <c r="L4542" s="339" t="s">
        <v>409</v>
      </c>
      <c r="M4542" s="339" t="s">
        <v>409</v>
      </c>
      <c r="N4542" s="338" t="s">
        <v>417</v>
      </c>
      <c r="O4542" s="338" t="s">
        <v>409</v>
      </c>
      <c r="P4542" s="338" t="s">
        <v>417</v>
      </c>
    </row>
    <row r="4543" spans="2:16" x14ac:dyDescent="0.25">
      <c r="B4543" s="336" t="s">
        <v>416</v>
      </c>
      <c r="C4543" s="337">
        <v>38539</v>
      </c>
      <c r="D4543" s="338" t="s">
        <v>1366</v>
      </c>
      <c r="E4543" s="336" t="s">
        <v>1365</v>
      </c>
      <c r="F4543" s="338" t="s">
        <v>436</v>
      </c>
      <c r="G4543" s="338">
        <v>260</v>
      </c>
      <c r="H4543" s="338" t="s">
        <v>412</v>
      </c>
      <c r="I4543" s="338" t="s">
        <v>411</v>
      </c>
      <c r="J4543" s="339"/>
      <c r="K4543" s="339"/>
      <c r="L4543" s="339">
        <v>2.4805899999999999</v>
      </c>
      <c r="M4543" s="339">
        <v>12.783200000000001</v>
      </c>
      <c r="N4543" s="338"/>
      <c r="O4543" s="338" t="s">
        <v>417</v>
      </c>
      <c r="P4543" s="338" t="s">
        <v>417</v>
      </c>
    </row>
    <row r="4544" spans="2:16" x14ac:dyDescent="0.25">
      <c r="B4544" s="336" t="s">
        <v>416</v>
      </c>
      <c r="C4544" s="337">
        <v>38539</v>
      </c>
      <c r="D4544" s="338" t="s">
        <v>1364</v>
      </c>
      <c r="E4544" s="336" t="s">
        <v>1363</v>
      </c>
      <c r="F4544" s="338"/>
      <c r="G4544" s="338" t="s">
        <v>413</v>
      </c>
      <c r="H4544" s="338" t="s">
        <v>336</v>
      </c>
      <c r="I4544" s="338" t="s">
        <v>411</v>
      </c>
      <c r="J4544" s="339"/>
      <c r="K4544" s="339"/>
      <c r="L4544" s="339" t="s">
        <v>409</v>
      </c>
      <c r="M4544" s="339" t="s">
        <v>409</v>
      </c>
      <c r="N4544" s="338" t="s">
        <v>417</v>
      </c>
      <c r="O4544" s="338" t="s">
        <v>409</v>
      </c>
      <c r="P4544" s="338" t="s">
        <v>417</v>
      </c>
    </row>
    <row r="4545" spans="2:16" x14ac:dyDescent="0.25">
      <c r="B4545" s="336" t="s">
        <v>416</v>
      </c>
      <c r="C4545" s="337">
        <v>38539</v>
      </c>
      <c r="D4545" s="338" t="s">
        <v>1362</v>
      </c>
      <c r="E4545" s="336" t="s">
        <v>1361</v>
      </c>
      <c r="F4545" s="338"/>
      <c r="G4545" s="338">
        <v>0.22</v>
      </c>
      <c r="H4545" s="338" t="s">
        <v>336</v>
      </c>
      <c r="I4545" s="338" t="s">
        <v>411</v>
      </c>
      <c r="J4545" s="339"/>
      <c r="K4545" s="339"/>
      <c r="L4545" s="339" t="s">
        <v>409</v>
      </c>
      <c r="M4545" s="339" t="s">
        <v>409</v>
      </c>
      <c r="N4545" s="338" t="s">
        <v>410</v>
      </c>
      <c r="O4545" s="338" t="s">
        <v>409</v>
      </c>
      <c r="P4545" s="338" t="s">
        <v>410</v>
      </c>
    </row>
    <row r="4546" spans="2:16" x14ac:dyDescent="0.25">
      <c r="B4546" s="336" t="s">
        <v>416</v>
      </c>
      <c r="C4546" s="337">
        <v>38538</v>
      </c>
      <c r="D4546" s="338" t="s">
        <v>1360</v>
      </c>
      <c r="E4546" s="336" t="s">
        <v>566</v>
      </c>
      <c r="F4546" s="338"/>
      <c r="G4546" s="338" t="s">
        <v>413</v>
      </c>
      <c r="H4546" s="338" t="s">
        <v>412</v>
      </c>
      <c r="I4546" s="338" t="s">
        <v>411</v>
      </c>
      <c r="J4546" s="339"/>
      <c r="K4546" s="339"/>
      <c r="L4546" s="339" t="s">
        <v>409</v>
      </c>
      <c r="M4546" s="339" t="s">
        <v>409</v>
      </c>
      <c r="N4546" s="338" t="s">
        <v>432</v>
      </c>
      <c r="O4546" s="338" t="s">
        <v>409</v>
      </c>
      <c r="P4546" s="338" t="s">
        <v>410</v>
      </c>
    </row>
    <row r="4547" spans="2:16" x14ac:dyDescent="0.25">
      <c r="B4547" s="336" t="s">
        <v>416</v>
      </c>
      <c r="C4547" s="337">
        <v>38537</v>
      </c>
      <c r="D4547" s="338" t="s">
        <v>1359</v>
      </c>
      <c r="E4547" s="336" t="s">
        <v>1056</v>
      </c>
      <c r="F4547" s="338"/>
      <c r="G4547" s="338" t="s">
        <v>413</v>
      </c>
      <c r="H4547" s="338" t="s">
        <v>412</v>
      </c>
      <c r="I4547" s="338" t="s">
        <v>411</v>
      </c>
      <c r="J4547" s="339"/>
      <c r="K4547" s="339"/>
      <c r="L4547" s="339" t="s">
        <v>409</v>
      </c>
      <c r="M4547" s="339" t="s">
        <v>409</v>
      </c>
      <c r="N4547" s="338" t="s">
        <v>612</v>
      </c>
      <c r="O4547" s="338" t="s">
        <v>409</v>
      </c>
      <c r="P4547" s="338" t="s">
        <v>417</v>
      </c>
    </row>
    <row r="4548" spans="2:16" x14ac:dyDescent="0.25">
      <c r="B4548" s="336" t="s">
        <v>416</v>
      </c>
      <c r="C4548" s="337">
        <v>38534</v>
      </c>
      <c r="D4548" s="338" t="s">
        <v>1358</v>
      </c>
      <c r="E4548" s="336" t="s">
        <v>714</v>
      </c>
      <c r="F4548" s="338" t="s">
        <v>1357</v>
      </c>
      <c r="G4548" s="338">
        <v>32</v>
      </c>
      <c r="H4548" s="338" t="s">
        <v>425</v>
      </c>
      <c r="I4548" s="338" t="s">
        <v>411</v>
      </c>
      <c r="J4548" s="339">
        <v>0.223714</v>
      </c>
      <c r="K4548" s="339">
        <v>29.273299999999999</v>
      </c>
      <c r="L4548" s="339"/>
      <c r="M4548" s="339"/>
      <c r="N4548" s="338" t="s">
        <v>417</v>
      </c>
      <c r="O4548" s="338" t="s">
        <v>417</v>
      </c>
      <c r="P4548" s="338" t="s">
        <v>417</v>
      </c>
    </row>
    <row r="4549" spans="2:16" x14ac:dyDescent="0.25">
      <c r="B4549" s="336" t="s">
        <v>416</v>
      </c>
      <c r="C4549" s="337">
        <v>38533</v>
      </c>
      <c r="D4549" s="338" t="s">
        <v>1356</v>
      </c>
      <c r="E4549" s="336" t="s">
        <v>639</v>
      </c>
      <c r="F4549" s="338"/>
      <c r="G4549" s="338">
        <v>3.6</v>
      </c>
      <c r="H4549" s="338" t="s">
        <v>425</v>
      </c>
      <c r="I4549" s="338" t="s">
        <v>411</v>
      </c>
      <c r="J4549" s="339"/>
      <c r="K4549" s="339"/>
      <c r="L4549" s="339" t="s">
        <v>409</v>
      </c>
      <c r="M4549" s="339" t="s">
        <v>409</v>
      </c>
      <c r="N4549" s="338"/>
      <c r="O4549" s="338" t="s">
        <v>409</v>
      </c>
      <c r="P4549" s="338" t="s">
        <v>417</v>
      </c>
    </row>
    <row r="4550" spans="2:16" x14ac:dyDescent="0.25">
      <c r="B4550" s="336" t="s">
        <v>459</v>
      </c>
      <c r="C4550" s="337">
        <v>38533</v>
      </c>
      <c r="D4550" s="338" t="s">
        <v>1355</v>
      </c>
      <c r="E4550" s="336" t="s">
        <v>1354</v>
      </c>
      <c r="F4550" s="338"/>
      <c r="G4550" s="338">
        <v>225</v>
      </c>
      <c r="H4550" s="338" t="s">
        <v>425</v>
      </c>
      <c r="I4550" s="338" t="s">
        <v>411</v>
      </c>
      <c r="J4550" s="339"/>
      <c r="K4550" s="339"/>
      <c r="L4550" s="339" t="s">
        <v>409</v>
      </c>
      <c r="M4550" s="339" t="s">
        <v>409</v>
      </c>
      <c r="N4550" s="338" t="s">
        <v>417</v>
      </c>
      <c r="O4550" s="338" t="s">
        <v>409</v>
      </c>
      <c r="P4550" s="338"/>
    </row>
    <row r="4551" spans="2:16" x14ac:dyDescent="0.25">
      <c r="B4551" s="336" t="s">
        <v>416</v>
      </c>
      <c r="C4551" s="337">
        <v>38533</v>
      </c>
      <c r="D4551" s="338" t="s">
        <v>1353</v>
      </c>
      <c r="E4551" s="336" t="s">
        <v>1352</v>
      </c>
      <c r="F4551" s="338" t="s">
        <v>1351</v>
      </c>
      <c r="G4551" s="338">
        <v>5</v>
      </c>
      <c r="H4551" s="338" t="s">
        <v>425</v>
      </c>
      <c r="I4551" s="338" t="s">
        <v>411</v>
      </c>
      <c r="J4551" s="339"/>
      <c r="K4551" s="339"/>
      <c r="L4551" s="339"/>
      <c r="M4551" s="339"/>
      <c r="N4551" s="338"/>
      <c r="O4551" s="338" t="s">
        <v>417</v>
      </c>
      <c r="P4551" s="338" t="s">
        <v>543</v>
      </c>
    </row>
    <row r="4552" spans="2:16" x14ac:dyDescent="0.25">
      <c r="B4552" s="336" t="s">
        <v>416</v>
      </c>
      <c r="C4552" s="337">
        <v>38533</v>
      </c>
      <c r="D4552" s="338" t="s">
        <v>1350</v>
      </c>
      <c r="E4552" s="336" t="s">
        <v>1349</v>
      </c>
      <c r="F4552" s="338" t="s">
        <v>1348</v>
      </c>
      <c r="G4552" s="338">
        <v>29</v>
      </c>
      <c r="H4552" s="338" t="s">
        <v>425</v>
      </c>
      <c r="I4552" s="338" t="s">
        <v>411</v>
      </c>
      <c r="J4552" s="339"/>
      <c r="K4552" s="339"/>
      <c r="L4552" s="339">
        <v>11.9727</v>
      </c>
      <c r="M4552" s="339">
        <v>18.989000000000001</v>
      </c>
      <c r="N4552" s="338"/>
      <c r="O4552" s="338" t="s">
        <v>443</v>
      </c>
      <c r="P4552" s="338"/>
    </row>
    <row r="4553" spans="2:16" x14ac:dyDescent="0.25">
      <c r="B4553" s="336" t="s">
        <v>416</v>
      </c>
      <c r="C4553" s="337">
        <v>38533</v>
      </c>
      <c r="D4553" s="338" t="s">
        <v>1347</v>
      </c>
      <c r="E4553" s="336" t="s">
        <v>831</v>
      </c>
      <c r="F4553" s="338"/>
      <c r="G4553" s="338">
        <v>51</v>
      </c>
      <c r="H4553" s="338" t="s">
        <v>425</v>
      </c>
      <c r="I4553" s="338" t="s">
        <v>411</v>
      </c>
      <c r="J4553" s="339"/>
      <c r="K4553" s="339"/>
      <c r="L4553" s="339" t="s">
        <v>409</v>
      </c>
      <c r="M4553" s="339" t="s">
        <v>409</v>
      </c>
      <c r="N4553" s="338" t="s">
        <v>417</v>
      </c>
      <c r="O4553" s="338" t="s">
        <v>409</v>
      </c>
      <c r="P4553" s="338" t="s">
        <v>417</v>
      </c>
    </row>
    <row r="4554" spans="2:16" x14ac:dyDescent="0.25">
      <c r="B4554" s="336" t="s">
        <v>416</v>
      </c>
      <c r="C4554" s="337">
        <v>38533</v>
      </c>
      <c r="D4554" s="338" t="s">
        <v>1346</v>
      </c>
      <c r="E4554" s="336" t="s">
        <v>1345</v>
      </c>
      <c r="F4554" s="338"/>
      <c r="G4554" s="338" t="s">
        <v>413</v>
      </c>
      <c r="H4554" s="338" t="s">
        <v>425</v>
      </c>
      <c r="I4554" s="338" t="s">
        <v>1243</v>
      </c>
      <c r="J4554" s="339"/>
      <c r="K4554" s="339"/>
      <c r="L4554" s="339" t="s">
        <v>409</v>
      </c>
      <c r="M4554" s="339" t="s">
        <v>409</v>
      </c>
      <c r="N4554" s="338" t="s">
        <v>417</v>
      </c>
      <c r="O4554" s="338" t="s">
        <v>409</v>
      </c>
      <c r="P4554" s="338" t="s">
        <v>443</v>
      </c>
    </row>
    <row r="4555" spans="2:16" x14ac:dyDescent="0.25">
      <c r="B4555" s="336" t="s">
        <v>416</v>
      </c>
      <c r="C4555" s="337">
        <v>38532</v>
      </c>
      <c r="D4555" s="338" t="s">
        <v>1344</v>
      </c>
      <c r="E4555" s="336" t="s">
        <v>1026</v>
      </c>
      <c r="F4555" s="338"/>
      <c r="G4555" s="338" t="s">
        <v>413</v>
      </c>
      <c r="H4555" s="338" t="s">
        <v>412</v>
      </c>
      <c r="I4555" s="338" t="s">
        <v>411</v>
      </c>
      <c r="J4555" s="339"/>
      <c r="K4555" s="339"/>
      <c r="L4555" s="339" t="s">
        <v>409</v>
      </c>
      <c r="M4555" s="339" t="s">
        <v>409</v>
      </c>
      <c r="N4555" s="338" t="s">
        <v>417</v>
      </c>
      <c r="O4555" s="338" t="s">
        <v>409</v>
      </c>
      <c r="P4555" s="338" t="s">
        <v>443</v>
      </c>
    </row>
    <row r="4556" spans="2:16" x14ac:dyDescent="0.25">
      <c r="B4556" s="336" t="s">
        <v>459</v>
      </c>
      <c r="C4556" s="337">
        <v>38532</v>
      </c>
      <c r="D4556" s="338" t="s">
        <v>1343</v>
      </c>
      <c r="E4556" s="336" t="s">
        <v>1342</v>
      </c>
      <c r="F4556" s="338"/>
      <c r="G4556" s="338" t="s">
        <v>413</v>
      </c>
      <c r="H4556" s="338" t="s">
        <v>412</v>
      </c>
      <c r="I4556" s="338" t="s">
        <v>411</v>
      </c>
      <c r="J4556" s="339"/>
      <c r="K4556" s="339"/>
      <c r="L4556" s="339" t="s">
        <v>409</v>
      </c>
      <c r="M4556" s="339" t="s">
        <v>409</v>
      </c>
      <c r="N4556" s="338" t="s">
        <v>417</v>
      </c>
      <c r="O4556" s="338" t="s">
        <v>409</v>
      </c>
      <c r="P4556" s="338" t="s">
        <v>443</v>
      </c>
    </row>
    <row r="4557" spans="2:16" x14ac:dyDescent="0.25">
      <c r="B4557" s="336" t="s">
        <v>416</v>
      </c>
      <c r="C4557" s="337">
        <v>38531</v>
      </c>
      <c r="D4557" s="338" t="s">
        <v>1341</v>
      </c>
      <c r="E4557" s="336" t="s">
        <v>430</v>
      </c>
      <c r="F4557" s="338"/>
      <c r="G4557" s="338" t="s">
        <v>413</v>
      </c>
      <c r="H4557" s="338" t="s">
        <v>412</v>
      </c>
      <c r="I4557" s="338" t="s">
        <v>411</v>
      </c>
      <c r="J4557" s="339"/>
      <c r="K4557" s="339"/>
      <c r="L4557" s="339" t="s">
        <v>409</v>
      </c>
      <c r="M4557" s="339" t="s">
        <v>409</v>
      </c>
      <c r="N4557" s="338"/>
      <c r="O4557" s="338" t="s">
        <v>409</v>
      </c>
      <c r="P4557" s="338" t="s">
        <v>408</v>
      </c>
    </row>
    <row r="4558" spans="2:16" x14ac:dyDescent="0.25">
      <c r="B4558" s="336" t="s">
        <v>416</v>
      </c>
      <c r="C4558" s="337">
        <v>38530</v>
      </c>
      <c r="D4558" s="338" t="s">
        <v>1340</v>
      </c>
      <c r="E4558" s="336" t="s">
        <v>1339</v>
      </c>
      <c r="F4558" s="338"/>
      <c r="G4558" s="338">
        <v>2.71</v>
      </c>
      <c r="H4558" s="338" t="s">
        <v>429</v>
      </c>
      <c r="I4558" s="338" t="s">
        <v>411</v>
      </c>
      <c r="J4558" s="339"/>
      <c r="K4558" s="339"/>
      <c r="L4558" s="339" t="s">
        <v>409</v>
      </c>
      <c r="M4558" s="339" t="s">
        <v>409</v>
      </c>
      <c r="N4558" s="338" t="s">
        <v>612</v>
      </c>
      <c r="O4558" s="338" t="s">
        <v>409</v>
      </c>
      <c r="P4558" s="338" t="s">
        <v>417</v>
      </c>
    </row>
    <row r="4559" spans="2:16" x14ac:dyDescent="0.25">
      <c r="B4559" s="336" t="s">
        <v>416</v>
      </c>
      <c r="C4559" s="337">
        <v>38530</v>
      </c>
      <c r="D4559" s="338" t="s">
        <v>1338</v>
      </c>
      <c r="E4559" s="336" t="s">
        <v>1337</v>
      </c>
      <c r="F4559" s="338" t="s">
        <v>1336</v>
      </c>
      <c r="G4559" s="338" t="s">
        <v>413</v>
      </c>
      <c r="H4559" s="338" t="s">
        <v>425</v>
      </c>
      <c r="I4559" s="338" t="s">
        <v>411</v>
      </c>
      <c r="J4559" s="339"/>
      <c r="K4559" s="339"/>
      <c r="L4559" s="339"/>
      <c r="M4559" s="339"/>
      <c r="N4559" s="338" t="s">
        <v>417</v>
      </c>
      <c r="O4559" s="338" t="s">
        <v>543</v>
      </c>
      <c r="P4559" s="338" t="s">
        <v>487</v>
      </c>
    </row>
    <row r="4560" spans="2:16" x14ac:dyDescent="0.25">
      <c r="B4560" s="336" t="s">
        <v>416</v>
      </c>
      <c r="C4560" s="337">
        <v>38530</v>
      </c>
      <c r="D4560" s="338" t="s">
        <v>1335</v>
      </c>
      <c r="E4560" s="336" t="s">
        <v>1334</v>
      </c>
      <c r="F4560" s="338" t="s">
        <v>1333</v>
      </c>
      <c r="G4560" s="338" t="s">
        <v>413</v>
      </c>
      <c r="H4560" s="338" t="s">
        <v>412</v>
      </c>
      <c r="I4560" s="338" t="s">
        <v>411</v>
      </c>
      <c r="J4560" s="339"/>
      <c r="K4560" s="339"/>
      <c r="L4560" s="339"/>
      <c r="M4560" s="339"/>
      <c r="N4560" s="338" t="s">
        <v>417</v>
      </c>
      <c r="O4560" s="338" t="s">
        <v>443</v>
      </c>
      <c r="P4560" s="338" t="s">
        <v>443</v>
      </c>
    </row>
    <row r="4561" spans="2:16" x14ac:dyDescent="0.25">
      <c r="B4561" s="336" t="s">
        <v>416</v>
      </c>
      <c r="C4561" s="337">
        <v>38527</v>
      </c>
      <c r="D4561" s="338" t="s">
        <v>1332</v>
      </c>
      <c r="E4561" s="336" t="s">
        <v>831</v>
      </c>
      <c r="F4561" s="338"/>
      <c r="G4561" s="338" t="s">
        <v>413</v>
      </c>
      <c r="H4561" s="338" t="s">
        <v>412</v>
      </c>
      <c r="I4561" s="338" t="s">
        <v>411</v>
      </c>
      <c r="J4561" s="339"/>
      <c r="K4561" s="339"/>
      <c r="L4561" s="339" t="s">
        <v>409</v>
      </c>
      <c r="M4561" s="339" t="s">
        <v>409</v>
      </c>
      <c r="N4561" s="338" t="s">
        <v>487</v>
      </c>
      <c r="O4561" s="338" t="s">
        <v>409</v>
      </c>
      <c r="P4561" s="338" t="s">
        <v>417</v>
      </c>
    </row>
    <row r="4562" spans="2:16" x14ac:dyDescent="0.25">
      <c r="B4562" s="336" t="s">
        <v>459</v>
      </c>
      <c r="C4562" s="337">
        <v>38527</v>
      </c>
      <c r="D4562" s="338" t="s">
        <v>1331</v>
      </c>
      <c r="E4562" s="336" t="s">
        <v>1330</v>
      </c>
      <c r="F4562" s="338"/>
      <c r="G4562" s="338" t="s">
        <v>413</v>
      </c>
      <c r="H4562" s="338" t="s">
        <v>412</v>
      </c>
      <c r="I4562" s="338" t="s">
        <v>411</v>
      </c>
      <c r="J4562" s="339"/>
      <c r="K4562" s="339"/>
      <c r="L4562" s="339" t="s">
        <v>409</v>
      </c>
      <c r="M4562" s="339" t="s">
        <v>409</v>
      </c>
      <c r="N4562" s="338" t="s">
        <v>417</v>
      </c>
      <c r="O4562" s="338" t="s">
        <v>409</v>
      </c>
      <c r="P4562" s="338" t="s">
        <v>443</v>
      </c>
    </row>
    <row r="4563" spans="2:16" x14ac:dyDescent="0.25">
      <c r="B4563" s="336" t="s">
        <v>416</v>
      </c>
      <c r="C4563" s="337">
        <v>38527</v>
      </c>
      <c r="D4563" s="338" t="s">
        <v>1329</v>
      </c>
      <c r="E4563" s="336" t="s">
        <v>1328</v>
      </c>
      <c r="F4563" s="338" t="s">
        <v>1327</v>
      </c>
      <c r="G4563" s="338" t="s">
        <v>413</v>
      </c>
      <c r="H4563" s="338" t="s">
        <v>412</v>
      </c>
      <c r="I4563" s="338" t="s">
        <v>411</v>
      </c>
      <c r="J4563" s="339"/>
      <c r="K4563" s="339"/>
      <c r="L4563" s="339"/>
      <c r="M4563" s="339"/>
      <c r="N4563" s="338"/>
      <c r="O4563" s="338" t="s">
        <v>417</v>
      </c>
      <c r="P4563" s="338" t="s">
        <v>417</v>
      </c>
    </row>
    <row r="4564" spans="2:16" x14ac:dyDescent="0.25">
      <c r="B4564" s="336" t="s">
        <v>416</v>
      </c>
      <c r="C4564" s="337">
        <v>38526</v>
      </c>
      <c r="D4564" s="338" t="s">
        <v>956</v>
      </c>
      <c r="E4564" s="336" t="s">
        <v>1326</v>
      </c>
      <c r="F4564" s="338" t="s">
        <v>1325</v>
      </c>
      <c r="G4564" s="338">
        <v>2.16</v>
      </c>
      <c r="H4564" s="338" t="s">
        <v>425</v>
      </c>
      <c r="I4564" s="338" t="s">
        <v>411</v>
      </c>
      <c r="J4564" s="339"/>
      <c r="K4564" s="339"/>
      <c r="L4564" s="339"/>
      <c r="M4564" s="339"/>
      <c r="N4564" s="338"/>
      <c r="O4564" s="338" t="s">
        <v>417</v>
      </c>
      <c r="P4564" s="338" t="s">
        <v>410</v>
      </c>
    </row>
    <row r="4565" spans="2:16" x14ac:dyDescent="0.25">
      <c r="B4565" s="336" t="s">
        <v>416</v>
      </c>
      <c r="C4565" s="337">
        <v>38526</v>
      </c>
      <c r="D4565" s="338" t="s">
        <v>1324</v>
      </c>
      <c r="E4565" s="336" t="s">
        <v>1323</v>
      </c>
      <c r="F4565" s="338" t="s">
        <v>1322</v>
      </c>
      <c r="G4565" s="338">
        <v>144</v>
      </c>
      <c r="H4565" s="338" t="s">
        <v>425</v>
      </c>
      <c r="I4565" s="338" t="s">
        <v>411</v>
      </c>
      <c r="J4565" s="339"/>
      <c r="K4565" s="339"/>
      <c r="L4565" s="339">
        <v>1.5087999999999999</v>
      </c>
      <c r="M4565" s="339">
        <v>13.225099999999999</v>
      </c>
      <c r="N4565" s="338"/>
      <c r="O4565" s="338" t="s">
        <v>417</v>
      </c>
      <c r="P4565" s="338" t="s">
        <v>408</v>
      </c>
    </row>
    <row r="4566" spans="2:16" x14ac:dyDescent="0.25">
      <c r="B4566" s="336" t="s">
        <v>416</v>
      </c>
      <c r="C4566" s="337">
        <v>38524</v>
      </c>
      <c r="D4566" s="338" t="s">
        <v>1321</v>
      </c>
      <c r="E4566" s="336" t="s">
        <v>1320</v>
      </c>
      <c r="F4566" s="338"/>
      <c r="G4566" s="338" t="s">
        <v>413</v>
      </c>
      <c r="H4566" s="338" t="s">
        <v>412</v>
      </c>
      <c r="I4566" s="338" t="s">
        <v>411</v>
      </c>
      <c r="J4566" s="339"/>
      <c r="K4566" s="339"/>
      <c r="L4566" s="339" t="s">
        <v>409</v>
      </c>
      <c r="M4566" s="339" t="s">
        <v>409</v>
      </c>
      <c r="N4566" s="338"/>
      <c r="O4566" s="338" t="s">
        <v>409</v>
      </c>
      <c r="P4566" s="338" t="s">
        <v>417</v>
      </c>
    </row>
    <row r="4567" spans="2:16" x14ac:dyDescent="0.25">
      <c r="B4567" s="336" t="s">
        <v>542</v>
      </c>
      <c r="C4567" s="337">
        <v>38524</v>
      </c>
      <c r="D4567" s="338" t="s">
        <v>1319</v>
      </c>
      <c r="E4567" s="336" t="s">
        <v>539</v>
      </c>
      <c r="F4567" s="338"/>
      <c r="G4567" s="338">
        <v>37.5</v>
      </c>
      <c r="H4567" s="338"/>
      <c r="I4567" s="338" t="s">
        <v>411</v>
      </c>
      <c r="J4567" s="339">
        <v>0.241755</v>
      </c>
      <c r="K4567" s="339">
        <v>6.5039999999999996</v>
      </c>
      <c r="L4567" s="339" t="s">
        <v>409</v>
      </c>
      <c r="M4567" s="339" t="s">
        <v>409</v>
      </c>
      <c r="N4567" s="338" t="s">
        <v>417</v>
      </c>
      <c r="O4567" s="338" t="s">
        <v>409</v>
      </c>
      <c r="P4567" s="338" t="s">
        <v>417</v>
      </c>
    </row>
    <row r="4568" spans="2:16" x14ac:dyDescent="0.25">
      <c r="B4568" s="336" t="s">
        <v>541</v>
      </c>
      <c r="C4568" s="337">
        <v>38524</v>
      </c>
      <c r="D4568" s="338" t="s">
        <v>706</v>
      </c>
      <c r="E4568" s="336" t="s">
        <v>539</v>
      </c>
      <c r="F4568" s="338" t="s">
        <v>707</v>
      </c>
      <c r="G4568" s="338">
        <v>0</v>
      </c>
      <c r="H4568" s="338"/>
      <c r="I4568" s="338" t="s">
        <v>411</v>
      </c>
      <c r="J4568" s="339"/>
      <c r="K4568" s="339"/>
      <c r="L4568" s="339"/>
      <c r="M4568" s="339"/>
      <c r="N4568" s="338" t="s">
        <v>417</v>
      </c>
      <c r="O4568" s="338" t="s">
        <v>417</v>
      </c>
      <c r="P4568" s="338" t="s">
        <v>409</v>
      </c>
    </row>
    <row r="4569" spans="2:16" x14ac:dyDescent="0.25">
      <c r="B4569" s="336" t="s">
        <v>416</v>
      </c>
      <c r="C4569" s="337">
        <v>38524</v>
      </c>
      <c r="D4569" s="338" t="s">
        <v>1318</v>
      </c>
      <c r="E4569" s="336" t="s">
        <v>1273</v>
      </c>
      <c r="F4569" s="338" t="s">
        <v>1317</v>
      </c>
      <c r="G4569" s="338">
        <v>316</v>
      </c>
      <c r="H4569" s="338" t="s">
        <v>412</v>
      </c>
      <c r="I4569" s="338" t="s">
        <v>411</v>
      </c>
      <c r="J4569" s="339"/>
      <c r="K4569" s="339"/>
      <c r="L4569" s="339">
        <v>0.38016</v>
      </c>
      <c r="M4569" s="339">
        <v>6.6719400000000002</v>
      </c>
      <c r="N4569" s="338"/>
      <c r="O4569" s="338" t="s">
        <v>417</v>
      </c>
      <c r="P4569" s="338" t="s">
        <v>443</v>
      </c>
    </row>
    <row r="4570" spans="2:16" x14ac:dyDescent="0.25">
      <c r="B4570" s="336" t="s">
        <v>416</v>
      </c>
      <c r="C4570" s="337">
        <v>38524</v>
      </c>
      <c r="D4570" s="338" t="s">
        <v>1316</v>
      </c>
      <c r="E4570" s="336" t="s">
        <v>1315</v>
      </c>
      <c r="F4570" s="338" t="s">
        <v>1060</v>
      </c>
      <c r="G4570" s="338">
        <v>188</v>
      </c>
      <c r="H4570" s="338" t="s">
        <v>425</v>
      </c>
      <c r="I4570" s="338" t="s">
        <v>411</v>
      </c>
      <c r="J4570" s="339"/>
      <c r="K4570" s="339"/>
      <c r="L4570" s="339"/>
      <c r="M4570" s="339"/>
      <c r="N4570" s="338" t="s">
        <v>417</v>
      </c>
      <c r="O4570" s="338" t="s">
        <v>443</v>
      </c>
      <c r="P4570" s="338" t="s">
        <v>443</v>
      </c>
    </row>
    <row r="4571" spans="2:16" x14ac:dyDescent="0.25">
      <c r="B4571" s="336" t="s">
        <v>416</v>
      </c>
      <c r="C4571" s="337">
        <v>38524</v>
      </c>
      <c r="D4571" s="338" t="s">
        <v>1314</v>
      </c>
      <c r="E4571" s="336" t="s">
        <v>1313</v>
      </c>
      <c r="F4571" s="338"/>
      <c r="G4571" s="338" t="s">
        <v>413</v>
      </c>
      <c r="H4571" s="338" t="s">
        <v>412</v>
      </c>
      <c r="I4571" s="338" t="s">
        <v>411</v>
      </c>
      <c r="J4571" s="339"/>
      <c r="K4571" s="339"/>
      <c r="L4571" s="339" t="s">
        <v>409</v>
      </c>
      <c r="M4571" s="339" t="s">
        <v>409</v>
      </c>
      <c r="N4571" s="338" t="s">
        <v>417</v>
      </c>
      <c r="O4571" s="338" t="s">
        <v>409</v>
      </c>
      <c r="P4571" s="338" t="s">
        <v>417</v>
      </c>
    </row>
    <row r="4572" spans="2:16" x14ac:dyDescent="0.25">
      <c r="B4572" s="336" t="s">
        <v>416</v>
      </c>
      <c r="C4572" s="337">
        <v>38524</v>
      </c>
      <c r="D4572" s="338" t="s">
        <v>1312</v>
      </c>
      <c r="E4572" s="336" t="s">
        <v>1311</v>
      </c>
      <c r="F4572" s="338"/>
      <c r="G4572" s="338">
        <v>6.46</v>
      </c>
      <c r="H4572" s="338" t="s">
        <v>336</v>
      </c>
      <c r="I4572" s="338" t="s">
        <v>411</v>
      </c>
      <c r="J4572" s="339"/>
      <c r="K4572" s="339"/>
      <c r="L4572" s="339" t="s">
        <v>409</v>
      </c>
      <c r="M4572" s="339" t="s">
        <v>409</v>
      </c>
      <c r="N4572" s="338" t="s">
        <v>417</v>
      </c>
      <c r="O4572" s="338" t="s">
        <v>409</v>
      </c>
      <c r="P4572" s="338" t="s">
        <v>443</v>
      </c>
    </row>
    <row r="4573" spans="2:16" x14ac:dyDescent="0.25">
      <c r="B4573" s="336" t="s">
        <v>416</v>
      </c>
      <c r="C4573" s="337">
        <v>38523</v>
      </c>
      <c r="D4573" s="338" t="s">
        <v>1310</v>
      </c>
      <c r="E4573" s="336" t="s">
        <v>1309</v>
      </c>
      <c r="F4573" s="338" t="s">
        <v>419</v>
      </c>
      <c r="G4573" s="338">
        <v>149.6</v>
      </c>
      <c r="H4573" s="338" t="s">
        <v>425</v>
      </c>
      <c r="I4573" s="338" t="s">
        <v>411</v>
      </c>
      <c r="J4573" s="339"/>
      <c r="K4573" s="339"/>
      <c r="L4573" s="339">
        <v>0.64154199999999995</v>
      </c>
      <c r="M4573" s="339">
        <v>2.8073899999999998</v>
      </c>
      <c r="N4573" s="338"/>
      <c r="O4573" s="338" t="s">
        <v>417</v>
      </c>
      <c r="P4573" s="338" t="s">
        <v>417</v>
      </c>
    </row>
    <row r="4574" spans="2:16" x14ac:dyDescent="0.25">
      <c r="B4574" s="336" t="s">
        <v>416</v>
      </c>
      <c r="C4574" s="337">
        <v>38523</v>
      </c>
      <c r="D4574" s="338" t="s">
        <v>1308</v>
      </c>
      <c r="E4574" s="336" t="s">
        <v>1307</v>
      </c>
      <c r="F4574" s="338"/>
      <c r="G4574" s="338" t="s">
        <v>413</v>
      </c>
      <c r="H4574" s="338" t="s">
        <v>412</v>
      </c>
      <c r="I4574" s="338" t="s">
        <v>411</v>
      </c>
      <c r="J4574" s="339"/>
      <c r="K4574" s="339"/>
      <c r="L4574" s="339" t="s">
        <v>409</v>
      </c>
      <c r="M4574" s="339" t="s">
        <v>409</v>
      </c>
      <c r="N4574" s="338"/>
      <c r="O4574" s="338" t="s">
        <v>409</v>
      </c>
      <c r="P4574" s="338" t="s">
        <v>885</v>
      </c>
    </row>
    <row r="4575" spans="2:16" x14ac:dyDescent="0.25">
      <c r="B4575" s="336" t="s">
        <v>416</v>
      </c>
      <c r="C4575" s="337">
        <v>38523</v>
      </c>
      <c r="D4575" s="338" t="s">
        <v>1306</v>
      </c>
      <c r="E4575" s="336" t="s">
        <v>925</v>
      </c>
      <c r="F4575" s="338"/>
      <c r="G4575" s="338" t="s">
        <v>413</v>
      </c>
      <c r="H4575" s="338" t="s">
        <v>412</v>
      </c>
      <c r="I4575" s="338" t="s">
        <v>411</v>
      </c>
      <c r="J4575" s="339"/>
      <c r="K4575" s="339"/>
      <c r="L4575" s="339" t="s">
        <v>409</v>
      </c>
      <c r="M4575" s="339" t="s">
        <v>409</v>
      </c>
      <c r="N4575" s="338" t="s">
        <v>410</v>
      </c>
      <c r="O4575" s="338" t="s">
        <v>409</v>
      </c>
      <c r="P4575" s="338" t="s">
        <v>417</v>
      </c>
    </row>
    <row r="4576" spans="2:16" x14ac:dyDescent="0.25">
      <c r="B4576" s="336" t="s">
        <v>416</v>
      </c>
      <c r="C4576" s="337">
        <v>38520</v>
      </c>
      <c r="D4576" s="338" t="s">
        <v>1305</v>
      </c>
      <c r="E4576" s="336" t="s">
        <v>1301</v>
      </c>
      <c r="F4576" s="338"/>
      <c r="G4576" s="338" t="s">
        <v>413</v>
      </c>
      <c r="H4576" s="338" t="s">
        <v>412</v>
      </c>
      <c r="I4576" s="338" t="s">
        <v>411</v>
      </c>
      <c r="J4576" s="339"/>
      <c r="K4576" s="339"/>
      <c r="L4576" s="339" t="s">
        <v>409</v>
      </c>
      <c r="M4576" s="339" t="s">
        <v>409</v>
      </c>
      <c r="N4576" s="338"/>
      <c r="O4576" s="338" t="s">
        <v>409</v>
      </c>
      <c r="P4576" s="338" t="s">
        <v>417</v>
      </c>
    </row>
    <row r="4577" spans="2:16" x14ac:dyDescent="0.25">
      <c r="B4577" s="336" t="s">
        <v>416</v>
      </c>
      <c r="C4577" s="337">
        <v>38520</v>
      </c>
      <c r="D4577" s="338" t="s">
        <v>1304</v>
      </c>
      <c r="E4577" s="336" t="s">
        <v>1301</v>
      </c>
      <c r="F4577" s="338"/>
      <c r="G4577" s="338" t="s">
        <v>413</v>
      </c>
      <c r="H4577" s="338" t="s">
        <v>412</v>
      </c>
      <c r="I4577" s="338" t="s">
        <v>411</v>
      </c>
      <c r="J4577" s="339"/>
      <c r="K4577" s="339"/>
      <c r="L4577" s="339" t="s">
        <v>409</v>
      </c>
      <c r="M4577" s="339" t="s">
        <v>409</v>
      </c>
      <c r="N4577" s="338" t="s">
        <v>417</v>
      </c>
      <c r="O4577" s="338" t="s">
        <v>409</v>
      </c>
      <c r="P4577" s="338" t="s">
        <v>417</v>
      </c>
    </row>
    <row r="4578" spans="2:16" x14ac:dyDescent="0.25">
      <c r="B4578" s="336" t="s">
        <v>416</v>
      </c>
      <c r="C4578" s="337">
        <v>38520</v>
      </c>
      <c r="D4578" s="338" t="s">
        <v>1303</v>
      </c>
      <c r="E4578" s="336" t="s">
        <v>1302</v>
      </c>
      <c r="F4578" s="338" t="s">
        <v>1301</v>
      </c>
      <c r="G4578" s="338">
        <v>1.1000000000000001</v>
      </c>
      <c r="H4578" s="338" t="s">
        <v>425</v>
      </c>
      <c r="I4578" s="338" t="s">
        <v>411</v>
      </c>
      <c r="J4578" s="339"/>
      <c r="K4578" s="339"/>
      <c r="L4578" s="339">
        <v>0.64332500000000004</v>
      </c>
      <c r="M4578" s="339">
        <v>44.3489</v>
      </c>
      <c r="N4578" s="338"/>
      <c r="O4578" s="338" t="s">
        <v>417</v>
      </c>
      <c r="P4578" s="338" t="s">
        <v>410</v>
      </c>
    </row>
    <row r="4579" spans="2:16" x14ac:dyDescent="0.25">
      <c r="B4579" s="336" t="s">
        <v>416</v>
      </c>
      <c r="C4579" s="337">
        <v>38520</v>
      </c>
      <c r="D4579" s="338" t="s">
        <v>784</v>
      </c>
      <c r="E4579" s="336" t="s">
        <v>785</v>
      </c>
      <c r="F4579" s="338"/>
      <c r="G4579" s="338">
        <v>35</v>
      </c>
      <c r="H4579" s="338" t="s">
        <v>336</v>
      </c>
      <c r="I4579" s="338" t="s">
        <v>411</v>
      </c>
      <c r="J4579" s="339"/>
      <c r="K4579" s="339"/>
      <c r="L4579" s="339" t="s">
        <v>409</v>
      </c>
      <c r="M4579" s="339" t="s">
        <v>409</v>
      </c>
      <c r="N4579" s="338" t="s">
        <v>417</v>
      </c>
      <c r="O4579" s="338" t="s">
        <v>409</v>
      </c>
      <c r="P4579" s="338" t="s">
        <v>417</v>
      </c>
    </row>
    <row r="4580" spans="2:16" x14ac:dyDescent="0.25">
      <c r="B4580" s="336" t="s">
        <v>416</v>
      </c>
      <c r="C4580" s="337">
        <v>38519</v>
      </c>
      <c r="D4580" s="338" t="s">
        <v>1300</v>
      </c>
      <c r="E4580" s="336" t="s">
        <v>983</v>
      </c>
      <c r="F4580" s="338" t="s">
        <v>1299</v>
      </c>
      <c r="G4580" s="338" t="s">
        <v>413</v>
      </c>
      <c r="H4580" s="338" t="s">
        <v>425</v>
      </c>
      <c r="I4580" s="338" t="s">
        <v>411</v>
      </c>
      <c r="J4580" s="339"/>
      <c r="K4580" s="339"/>
      <c r="L4580" s="339"/>
      <c r="M4580" s="339"/>
      <c r="N4580" s="338"/>
      <c r="O4580" s="338" t="s">
        <v>417</v>
      </c>
      <c r="P4580" s="338" t="s">
        <v>417</v>
      </c>
    </row>
    <row r="4581" spans="2:16" x14ac:dyDescent="0.25">
      <c r="B4581" s="336" t="s">
        <v>416</v>
      </c>
      <c r="C4581" s="337">
        <v>38519</v>
      </c>
      <c r="D4581" s="338" t="s">
        <v>1298</v>
      </c>
      <c r="E4581" s="336" t="s">
        <v>1297</v>
      </c>
      <c r="F4581" s="338" t="s">
        <v>1296</v>
      </c>
      <c r="G4581" s="338" t="s">
        <v>413</v>
      </c>
      <c r="H4581" s="338" t="s">
        <v>412</v>
      </c>
      <c r="I4581" s="338" t="s">
        <v>411</v>
      </c>
      <c r="J4581" s="339"/>
      <c r="K4581" s="339"/>
      <c r="L4581" s="339"/>
      <c r="M4581" s="339"/>
      <c r="N4581" s="338"/>
      <c r="O4581" s="338" t="s">
        <v>417</v>
      </c>
      <c r="P4581" s="338" t="s">
        <v>443</v>
      </c>
    </row>
    <row r="4582" spans="2:16" x14ac:dyDescent="0.25">
      <c r="B4582" s="336" t="s">
        <v>416</v>
      </c>
      <c r="C4582" s="337">
        <v>38517</v>
      </c>
      <c r="D4582" s="338" t="s">
        <v>956</v>
      </c>
      <c r="E4582" s="336" t="s">
        <v>1288</v>
      </c>
      <c r="F4582" s="338" t="s">
        <v>1295</v>
      </c>
      <c r="G4582" s="338" t="s">
        <v>413</v>
      </c>
      <c r="H4582" s="338" t="s">
        <v>412</v>
      </c>
      <c r="I4582" s="338" t="s">
        <v>411</v>
      </c>
      <c r="J4582" s="339"/>
      <c r="K4582" s="339"/>
      <c r="L4582" s="339"/>
      <c r="M4582" s="339"/>
      <c r="N4582" s="338"/>
      <c r="O4582" s="338" t="s">
        <v>417</v>
      </c>
      <c r="P4582" s="338" t="s">
        <v>417</v>
      </c>
    </row>
    <row r="4583" spans="2:16" x14ac:dyDescent="0.25">
      <c r="B4583" s="336" t="s">
        <v>416</v>
      </c>
      <c r="C4583" s="337">
        <v>38517</v>
      </c>
      <c r="D4583" s="338" t="s">
        <v>1294</v>
      </c>
      <c r="E4583" s="336" t="s">
        <v>1288</v>
      </c>
      <c r="F4583" s="338"/>
      <c r="G4583" s="338" t="s">
        <v>413</v>
      </c>
      <c r="H4583" s="338" t="s">
        <v>412</v>
      </c>
      <c r="I4583" s="338" t="s">
        <v>411</v>
      </c>
      <c r="J4583" s="339"/>
      <c r="K4583" s="339"/>
      <c r="L4583" s="339" t="s">
        <v>409</v>
      </c>
      <c r="M4583" s="339" t="s">
        <v>409</v>
      </c>
      <c r="N4583" s="338" t="s">
        <v>417</v>
      </c>
      <c r="O4583" s="338" t="s">
        <v>409</v>
      </c>
      <c r="P4583" s="338" t="s">
        <v>417</v>
      </c>
    </row>
    <row r="4584" spans="2:16" x14ac:dyDescent="0.25">
      <c r="B4584" s="336" t="s">
        <v>416</v>
      </c>
      <c r="C4584" s="337">
        <v>38517</v>
      </c>
      <c r="D4584" s="338" t="s">
        <v>1293</v>
      </c>
      <c r="E4584" s="336" t="s">
        <v>1288</v>
      </c>
      <c r="F4584" s="338"/>
      <c r="G4584" s="338" t="s">
        <v>413</v>
      </c>
      <c r="H4584" s="338" t="s">
        <v>412</v>
      </c>
      <c r="I4584" s="338" t="s">
        <v>411</v>
      </c>
      <c r="J4584" s="339"/>
      <c r="K4584" s="339"/>
      <c r="L4584" s="339" t="s">
        <v>409</v>
      </c>
      <c r="M4584" s="339" t="s">
        <v>409</v>
      </c>
      <c r="N4584" s="338" t="s">
        <v>417</v>
      </c>
      <c r="O4584" s="338" t="s">
        <v>409</v>
      </c>
      <c r="P4584" s="338" t="s">
        <v>417</v>
      </c>
    </row>
    <row r="4585" spans="2:16" x14ac:dyDescent="0.25">
      <c r="B4585" s="336" t="s">
        <v>416</v>
      </c>
      <c r="C4585" s="337">
        <v>38517</v>
      </c>
      <c r="D4585" s="338" t="s">
        <v>1292</v>
      </c>
      <c r="E4585" s="336" t="s">
        <v>1288</v>
      </c>
      <c r="F4585" s="338"/>
      <c r="G4585" s="338" t="s">
        <v>413</v>
      </c>
      <c r="H4585" s="338" t="s">
        <v>412</v>
      </c>
      <c r="I4585" s="338" t="s">
        <v>411</v>
      </c>
      <c r="J4585" s="339"/>
      <c r="K4585" s="339"/>
      <c r="L4585" s="339" t="s">
        <v>409</v>
      </c>
      <c r="M4585" s="339" t="s">
        <v>409</v>
      </c>
      <c r="N4585" s="338" t="s">
        <v>417</v>
      </c>
      <c r="O4585" s="338" t="s">
        <v>409</v>
      </c>
      <c r="P4585" s="338" t="s">
        <v>417</v>
      </c>
    </row>
    <row r="4586" spans="2:16" x14ac:dyDescent="0.25">
      <c r="B4586" s="336" t="s">
        <v>459</v>
      </c>
      <c r="C4586" s="337">
        <v>38517</v>
      </c>
      <c r="D4586" s="338" t="s">
        <v>1291</v>
      </c>
      <c r="E4586" s="336" t="s">
        <v>1290</v>
      </c>
      <c r="F4586" s="338"/>
      <c r="G4586" s="338">
        <v>3</v>
      </c>
      <c r="H4586" s="338" t="s">
        <v>425</v>
      </c>
      <c r="I4586" s="338" t="s">
        <v>411</v>
      </c>
      <c r="J4586" s="339"/>
      <c r="K4586" s="339"/>
      <c r="L4586" s="339" t="s">
        <v>409</v>
      </c>
      <c r="M4586" s="339" t="s">
        <v>409</v>
      </c>
      <c r="N4586" s="338" t="s">
        <v>417</v>
      </c>
      <c r="O4586" s="338" t="s">
        <v>409</v>
      </c>
      <c r="P4586" s="338" t="s">
        <v>432</v>
      </c>
    </row>
    <row r="4587" spans="2:16" x14ac:dyDescent="0.25">
      <c r="B4587" s="336" t="s">
        <v>416</v>
      </c>
      <c r="C4587" s="337">
        <v>38517</v>
      </c>
      <c r="D4587" s="338" t="s">
        <v>1289</v>
      </c>
      <c r="E4587" s="336" t="s">
        <v>669</v>
      </c>
      <c r="F4587" s="338" t="s">
        <v>1288</v>
      </c>
      <c r="G4587" s="338" t="s">
        <v>413</v>
      </c>
      <c r="H4587" s="338" t="s">
        <v>412</v>
      </c>
      <c r="I4587" s="338" t="s">
        <v>411</v>
      </c>
      <c r="J4587" s="339"/>
      <c r="K4587" s="339"/>
      <c r="L4587" s="339">
        <v>0.52319099999999996</v>
      </c>
      <c r="M4587" s="339">
        <v>10.126899999999999</v>
      </c>
      <c r="N4587" s="338"/>
      <c r="O4587" s="338" t="s">
        <v>417</v>
      </c>
      <c r="P4587" s="338"/>
    </row>
    <row r="4588" spans="2:16" x14ac:dyDescent="0.25">
      <c r="B4588" s="336" t="s">
        <v>416</v>
      </c>
      <c r="C4588" s="337">
        <v>38516</v>
      </c>
      <c r="D4588" s="338" t="s">
        <v>1287</v>
      </c>
      <c r="E4588" s="336" t="s">
        <v>1286</v>
      </c>
      <c r="F4588" s="338"/>
      <c r="G4588" s="338">
        <v>40</v>
      </c>
      <c r="H4588" s="338" t="s">
        <v>425</v>
      </c>
      <c r="I4588" s="338" t="s">
        <v>411</v>
      </c>
      <c r="J4588" s="339"/>
      <c r="K4588" s="339"/>
      <c r="L4588" s="339" t="s">
        <v>409</v>
      </c>
      <c r="M4588" s="339" t="s">
        <v>409</v>
      </c>
      <c r="N4588" s="338" t="s">
        <v>417</v>
      </c>
      <c r="O4588" s="338" t="s">
        <v>409</v>
      </c>
      <c r="P4588" s="338"/>
    </row>
    <row r="4589" spans="2:16" x14ac:dyDescent="0.25">
      <c r="B4589" s="336" t="s">
        <v>416</v>
      </c>
      <c r="C4589" s="337">
        <v>38516</v>
      </c>
      <c r="D4589" s="338" t="s">
        <v>1285</v>
      </c>
      <c r="E4589" s="336" t="s">
        <v>1284</v>
      </c>
      <c r="F4589" s="338" t="s">
        <v>1283</v>
      </c>
      <c r="G4589" s="338">
        <v>399.49</v>
      </c>
      <c r="H4589" s="338" t="s">
        <v>425</v>
      </c>
      <c r="I4589" s="338" t="s">
        <v>411</v>
      </c>
      <c r="J4589" s="339"/>
      <c r="K4589" s="339"/>
      <c r="L4589" s="339">
        <v>2.8806600000000002</v>
      </c>
      <c r="M4589" s="339">
        <v>11.8482</v>
      </c>
      <c r="N4589" s="338"/>
      <c r="O4589" s="338" t="s">
        <v>432</v>
      </c>
      <c r="P4589" s="338" t="s">
        <v>417</v>
      </c>
    </row>
    <row r="4590" spans="2:16" x14ac:dyDescent="0.25">
      <c r="B4590" s="336" t="s">
        <v>416</v>
      </c>
      <c r="C4590" s="337">
        <v>38516</v>
      </c>
      <c r="D4590" s="338" t="s">
        <v>708</v>
      </c>
      <c r="E4590" s="336" t="s">
        <v>706</v>
      </c>
      <c r="F4590" s="338" t="s">
        <v>707</v>
      </c>
      <c r="G4590" s="338" t="s">
        <v>413</v>
      </c>
      <c r="H4590" s="338" t="s">
        <v>336</v>
      </c>
      <c r="I4590" s="338" t="s">
        <v>411</v>
      </c>
      <c r="J4590" s="339"/>
      <c r="K4590" s="339"/>
      <c r="L4590" s="339"/>
      <c r="M4590" s="339"/>
      <c r="N4590" s="338" t="s">
        <v>432</v>
      </c>
      <c r="O4590" s="338" t="s">
        <v>417</v>
      </c>
      <c r="P4590" s="338" t="s">
        <v>417</v>
      </c>
    </row>
    <row r="4591" spans="2:16" x14ac:dyDescent="0.25">
      <c r="B4591" s="336" t="s">
        <v>416</v>
      </c>
      <c r="C4591" s="337">
        <v>38516</v>
      </c>
      <c r="D4591" s="338" t="s">
        <v>1282</v>
      </c>
      <c r="E4591" s="336" t="s">
        <v>1281</v>
      </c>
      <c r="F4591" s="338"/>
      <c r="G4591" s="338" t="s">
        <v>413</v>
      </c>
      <c r="H4591" s="338" t="s">
        <v>412</v>
      </c>
      <c r="I4591" s="338" t="s">
        <v>411</v>
      </c>
      <c r="J4591" s="339"/>
      <c r="K4591" s="339"/>
      <c r="L4591" s="339" t="s">
        <v>409</v>
      </c>
      <c r="M4591" s="339" t="s">
        <v>409</v>
      </c>
      <c r="N4591" s="338" t="s">
        <v>605</v>
      </c>
      <c r="O4591" s="338" t="s">
        <v>409</v>
      </c>
      <c r="P4591" s="338" t="s">
        <v>605</v>
      </c>
    </row>
    <row r="4592" spans="2:16" x14ac:dyDescent="0.25">
      <c r="B4592" s="336" t="s">
        <v>416</v>
      </c>
      <c r="C4592" s="337">
        <v>38516</v>
      </c>
      <c r="D4592" s="338" t="s">
        <v>1280</v>
      </c>
      <c r="E4592" s="336" t="s">
        <v>1279</v>
      </c>
      <c r="F4592" s="338"/>
      <c r="G4592" s="338" t="s">
        <v>413</v>
      </c>
      <c r="H4592" s="338" t="s">
        <v>412</v>
      </c>
      <c r="I4592" s="338" t="s">
        <v>411</v>
      </c>
      <c r="J4592" s="339"/>
      <c r="K4592" s="339"/>
      <c r="L4592" s="339" t="s">
        <v>409</v>
      </c>
      <c r="M4592" s="339" t="s">
        <v>409</v>
      </c>
      <c r="N4592" s="338" t="s">
        <v>487</v>
      </c>
      <c r="O4592" s="338" t="s">
        <v>409</v>
      </c>
      <c r="P4592" s="338" t="s">
        <v>408</v>
      </c>
    </row>
    <row r="4593" spans="2:16" x14ac:dyDescent="0.25">
      <c r="B4593" s="336" t="s">
        <v>416</v>
      </c>
      <c r="C4593" s="337">
        <v>38516</v>
      </c>
      <c r="D4593" s="338" t="s">
        <v>1278</v>
      </c>
      <c r="E4593" s="336" t="s">
        <v>1277</v>
      </c>
      <c r="F4593" s="338"/>
      <c r="G4593" s="338">
        <v>14.7</v>
      </c>
      <c r="H4593" s="338" t="s">
        <v>425</v>
      </c>
      <c r="I4593" s="338" t="s">
        <v>411</v>
      </c>
      <c r="J4593" s="339"/>
      <c r="K4593" s="339"/>
      <c r="L4593" s="339" t="s">
        <v>409</v>
      </c>
      <c r="M4593" s="339" t="s">
        <v>409</v>
      </c>
      <c r="N4593" s="338" t="s">
        <v>417</v>
      </c>
      <c r="O4593" s="338" t="s">
        <v>409</v>
      </c>
      <c r="P4593" s="338" t="s">
        <v>432</v>
      </c>
    </row>
    <row r="4594" spans="2:16" x14ac:dyDescent="0.25">
      <c r="B4594" s="336" t="s">
        <v>416</v>
      </c>
      <c r="C4594" s="337">
        <v>38512</v>
      </c>
      <c r="D4594" s="338" t="s">
        <v>1276</v>
      </c>
      <c r="E4594" s="336" t="s">
        <v>1275</v>
      </c>
      <c r="F4594" s="338"/>
      <c r="G4594" s="338" t="s">
        <v>413</v>
      </c>
      <c r="H4594" s="338" t="s">
        <v>412</v>
      </c>
      <c r="I4594" s="338" t="s">
        <v>411</v>
      </c>
      <c r="J4594" s="339"/>
      <c r="K4594" s="339"/>
      <c r="L4594" s="339" t="s">
        <v>409</v>
      </c>
      <c r="M4594" s="339" t="s">
        <v>409</v>
      </c>
      <c r="N4594" s="338" t="s">
        <v>443</v>
      </c>
      <c r="O4594" s="338" t="s">
        <v>409</v>
      </c>
      <c r="P4594" s="338" t="s">
        <v>432</v>
      </c>
    </row>
    <row r="4595" spans="2:16" x14ac:dyDescent="0.25">
      <c r="B4595" s="336" t="s">
        <v>416</v>
      </c>
      <c r="C4595" s="337">
        <v>38511</v>
      </c>
      <c r="D4595" s="338" t="s">
        <v>1274</v>
      </c>
      <c r="E4595" s="336" t="s">
        <v>1273</v>
      </c>
      <c r="F4595" s="338" t="s">
        <v>624</v>
      </c>
      <c r="G4595" s="338">
        <v>44.8</v>
      </c>
      <c r="H4595" s="338" t="s">
        <v>425</v>
      </c>
      <c r="I4595" s="338" t="s">
        <v>411</v>
      </c>
      <c r="J4595" s="339"/>
      <c r="K4595" s="339"/>
      <c r="L4595" s="339"/>
      <c r="M4595" s="339"/>
      <c r="N4595" s="338"/>
      <c r="O4595" s="338" t="s">
        <v>417</v>
      </c>
      <c r="P4595" s="338" t="s">
        <v>443</v>
      </c>
    </row>
    <row r="4596" spans="2:16" x14ac:dyDescent="0.25">
      <c r="B4596" s="336" t="s">
        <v>416</v>
      </c>
      <c r="C4596" s="337">
        <v>38511</v>
      </c>
      <c r="D4596" s="338" t="s">
        <v>1272</v>
      </c>
      <c r="E4596" s="336" t="s">
        <v>1271</v>
      </c>
      <c r="F4596" s="338" t="s">
        <v>889</v>
      </c>
      <c r="G4596" s="338" t="s">
        <v>413</v>
      </c>
      <c r="H4596" s="338" t="s">
        <v>412</v>
      </c>
      <c r="I4596" s="338" t="s">
        <v>411</v>
      </c>
      <c r="J4596" s="339"/>
      <c r="K4596" s="339"/>
      <c r="L4596" s="339">
        <v>2.9470299999999998</v>
      </c>
      <c r="M4596" s="339">
        <v>13.790100000000001</v>
      </c>
      <c r="N4596" s="338"/>
      <c r="O4596" s="338" t="s">
        <v>410</v>
      </c>
      <c r="P4596" s="338" t="s">
        <v>410</v>
      </c>
    </row>
    <row r="4597" spans="2:16" x14ac:dyDescent="0.25">
      <c r="B4597" s="336" t="s">
        <v>416</v>
      </c>
      <c r="C4597" s="337">
        <v>38511</v>
      </c>
      <c r="D4597" s="338" t="s">
        <v>1270</v>
      </c>
      <c r="E4597" s="336" t="s">
        <v>842</v>
      </c>
      <c r="F4597" s="338" t="s">
        <v>675</v>
      </c>
      <c r="G4597" s="338">
        <v>3361.06</v>
      </c>
      <c r="H4597" s="338" t="s">
        <v>429</v>
      </c>
      <c r="I4597" s="338" t="s">
        <v>411</v>
      </c>
      <c r="J4597" s="339"/>
      <c r="K4597" s="339"/>
      <c r="L4597" s="339">
        <v>1.8861399999999999</v>
      </c>
      <c r="M4597" s="339">
        <v>10.4628</v>
      </c>
      <c r="N4597" s="338" t="s">
        <v>417</v>
      </c>
      <c r="O4597" s="338" t="s">
        <v>432</v>
      </c>
      <c r="P4597" s="338" t="s">
        <v>487</v>
      </c>
    </row>
    <row r="4598" spans="2:16" x14ac:dyDescent="0.25">
      <c r="B4598" s="336" t="s">
        <v>416</v>
      </c>
      <c r="C4598" s="337">
        <v>38510</v>
      </c>
      <c r="D4598" s="338" t="s">
        <v>1269</v>
      </c>
      <c r="E4598" s="336" t="s">
        <v>1268</v>
      </c>
      <c r="F4598" s="338"/>
      <c r="G4598" s="338" t="s">
        <v>413</v>
      </c>
      <c r="H4598" s="338" t="s">
        <v>412</v>
      </c>
      <c r="I4598" s="338" t="s">
        <v>411</v>
      </c>
      <c r="J4598" s="339"/>
      <c r="K4598" s="339"/>
      <c r="L4598" s="339" t="s">
        <v>409</v>
      </c>
      <c r="M4598" s="339" t="s">
        <v>409</v>
      </c>
      <c r="N4598" s="338" t="s">
        <v>417</v>
      </c>
      <c r="O4598" s="338" t="s">
        <v>409</v>
      </c>
      <c r="P4598" s="338" t="s">
        <v>443</v>
      </c>
    </row>
    <row r="4599" spans="2:16" x14ac:dyDescent="0.25">
      <c r="B4599" s="336" t="s">
        <v>416</v>
      </c>
      <c r="C4599" s="337">
        <v>38510</v>
      </c>
      <c r="D4599" s="338" t="s">
        <v>1267</v>
      </c>
      <c r="E4599" s="336" t="s">
        <v>1266</v>
      </c>
      <c r="F4599" s="338" t="s">
        <v>1265</v>
      </c>
      <c r="G4599" s="338" t="s">
        <v>413</v>
      </c>
      <c r="H4599" s="338" t="s">
        <v>412</v>
      </c>
      <c r="I4599" s="338" t="s">
        <v>411</v>
      </c>
      <c r="J4599" s="339"/>
      <c r="K4599" s="339"/>
      <c r="L4599" s="339"/>
      <c r="M4599" s="339"/>
      <c r="N4599" s="338"/>
      <c r="O4599" s="338" t="s">
        <v>417</v>
      </c>
      <c r="P4599" s="338" t="s">
        <v>482</v>
      </c>
    </row>
    <row r="4600" spans="2:16" x14ac:dyDescent="0.25">
      <c r="B4600" s="336" t="s">
        <v>459</v>
      </c>
      <c r="C4600" s="337">
        <v>38505</v>
      </c>
      <c r="D4600" s="338" t="s">
        <v>1264</v>
      </c>
      <c r="E4600" s="336" t="s">
        <v>986</v>
      </c>
      <c r="F4600" s="338"/>
      <c r="G4600" s="338" t="s">
        <v>413</v>
      </c>
      <c r="H4600" s="338" t="s">
        <v>412</v>
      </c>
      <c r="I4600" s="338" t="s">
        <v>411</v>
      </c>
      <c r="J4600" s="339"/>
      <c r="K4600" s="339"/>
      <c r="L4600" s="339" t="s">
        <v>409</v>
      </c>
      <c r="M4600" s="339" t="s">
        <v>409</v>
      </c>
      <c r="N4600" s="338" t="s">
        <v>543</v>
      </c>
      <c r="O4600" s="338" t="s">
        <v>409</v>
      </c>
      <c r="P4600" s="338" t="s">
        <v>417</v>
      </c>
    </row>
    <row r="4601" spans="2:16" x14ac:dyDescent="0.25">
      <c r="B4601" s="336" t="s">
        <v>416</v>
      </c>
      <c r="C4601" s="337">
        <v>38505</v>
      </c>
      <c r="D4601" s="338" t="s">
        <v>1261</v>
      </c>
      <c r="E4601" s="336" t="s">
        <v>1260</v>
      </c>
      <c r="F4601" s="338" t="s">
        <v>980</v>
      </c>
      <c r="G4601" s="338">
        <v>368</v>
      </c>
      <c r="H4601" s="338" t="s">
        <v>425</v>
      </c>
      <c r="I4601" s="338" t="s">
        <v>411</v>
      </c>
      <c r="J4601" s="339"/>
      <c r="K4601" s="339"/>
      <c r="L4601" s="339">
        <v>0.87109899999999996</v>
      </c>
      <c r="M4601" s="339">
        <v>6.4264900000000003</v>
      </c>
      <c r="N4601" s="338"/>
      <c r="O4601" s="338" t="s">
        <v>417</v>
      </c>
      <c r="P4601" s="338" t="s">
        <v>443</v>
      </c>
    </row>
    <row r="4602" spans="2:16" x14ac:dyDescent="0.25">
      <c r="B4602" s="336" t="s">
        <v>416</v>
      </c>
      <c r="C4602" s="337">
        <v>38505</v>
      </c>
      <c r="D4602" s="338" t="s">
        <v>1263</v>
      </c>
      <c r="E4602" s="336" t="s">
        <v>1262</v>
      </c>
      <c r="F4602" s="338"/>
      <c r="G4602" s="338" t="s">
        <v>413</v>
      </c>
      <c r="H4602" s="338" t="s">
        <v>412</v>
      </c>
      <c r="I4602" s="338" t="s">
        <v>411</v>
      </c>
      <c r="J4602" s="339"/>
      <c r="K4602" s="339"/>
      <c r="L4602" s="339" t="s">
        <v>409</v>
      </c>
      <c r="M4602" s="339" t="s">
        <v>409</v>
      </c>
      <c r="N4602" s="338"/>
      <c r="O4602" s="338" t="s">
        <v>409</v>
      </c>
      <c r="P4602" s="338" t="s">
        <v>417</v>
      </c>
    </row>
    <row r="4603" spans="2:16" x14ac:dyDescent="0.25">
      <c r="B4603" s="336" t="s">
        <v>416</v>
      </c>
      <c r="C4603" s="337">
        <v>38505</v>
      </c>
      <c r="D4603" s="338" t="s">
        <v>1261</v>
      </c>
      <c r="E4603" s="336" t="s">
        <v>1260</v>
      </c>
      <c r="F4603" s="338" t="s">
        <v>980</v>
      </c>
      <c r="G4603" s="338">
        <v>138</v>
      </c>
      <c r="H4603" s="338" t="s">
        <v>425</v>
      </c>
      <c r="I4603" s="338" t="s">
        <v>411</v>
      </c>
      <c r="J4603" s="339"/>
      <c r="K4603" s="339"/>
      <c r="L4603" s="339">
        <v>0.87109899999999996</v>
      </c>
      <c r="M4603" s="339">
        <v>6.4264900000000003</v>
      </c>
      <c r="N4603" s="338"/>
      <c r="O4603" s="338" t="s">
        <v>417</v>
      </c>
      <c r="P4603" s="338" t="s">
        <v>443</v>
      </c>
    </row>
    <row r="4604" spans="2:16" x14ac:dyDescent="0.25">
      <c r="B4604" s="336" t="s">
        <v>416</v>
      </c>
      <c r="C4604" s="337">
        <v>38505</v>
      </c>
      <c r="D4604" s="338" t="s">
        <v>1261</v>
      </c>
      <c r="E4604" s="336" t="s">
        <v>1260</v>
      </c>
      <c r="F4604" s="338" t="s">
        <v>981</v>
      </c>
      <c r="G4604" s="338">
        <v>253</v>
      </c>
      <c r="H4604" s="338" t="s">
        <v>425</v>
      </c>
      <c r="I4604" s="338" t="s">
        <v>411</v>
      </c>
      <c r="J4604" s="339"/>
      <c r="K4604" s="339"/>
      <c r="L4604" s="339">
        <v>1.19031</v>
      </c>
      <c r="M4604" s="339">
        <v>10.2965</v>
      </c>
      <c r="N4604" s="338"/>
      <c r="O4604" s="338" t="s">
        <v>417</v>
      </c>
      <c r="P4604" s="338" t="s">
        <v>443</v>
      </c>
    </row>
    <row r="4605" spans="2:16" x14ac:dyDescent="0.25">
      <c r="B4605" s="336" t="s">
        <v>416</v>
      </c>
      <c r="C4605" s="337">
        <v>38504</v>
      </c>
      <c r="D4605" s="338" t="s">
        <v>1259</v>
      </c>
      <c r="E4605" s="336" t="s">
        <v>831</v>
      </c>
      <c r="F4605" s="338" t="s">
        <v>1258</v>
      </c>
      <c r="G4605" s="338" t="s">
        <v>413</v>
      </c>
      <c r="H4605" s="338" t="s">
        <v>412</v>
      </c>
      <c r="I4605" s="338" t="s">
        <v>411</v>
      </c>
      <c r="J4605" s="339"/>
      <c r="K4605" s="339"/>
      <c r="L4605" s="339"/>
      <c r="M4605" s="339"/>
      <c r="N4605" s="338"/>
      <c r="O4605" s="338" t="s">
        <v>487</v>
      </c>
      <c r="P4605" s="338" t="s">
        <v>417</v>
      </c>
    </row>
    <row r="4606" spans="2:16" x14ac:dyDescent="0.25">
      <c r="B4606" s="336" t="s">
        <v>416</v>
      </c>
      <c r="C4606" s="337">
        <v>38504</v>
      </c>
      <c r="D4606" s="338" t="s">
        <v>1257</v>
      </c>
      <c r="E4606" s="336" t="s">
        <v>831</v>
      </c>
      <c r="F4606" s="338"/>
      <c r="G4606" s="338" t="s">
        <v>413</v>
      </c>
      <c r="H4606" s="338" t="s">
        <v>412</v>
      </c>
      <c r="I4606" s="338" t="s">
        <v>411</v>
      </c>
      <c r="J4606" s="339"/>
      <c r="K4606" s="339"/>
      <c r="L4606" s="339" t="s">
        <v>409</v>
      </c>
      <c r="M4606" s="339" t="s">
        <v>409</v>
      </c>
      <c r="N4606" s="338" t="s">
        <v>487</v>
      </c>
      <c r="O4606" s="338" t="s">
        <v>409</v>
      </c>
      <c r="P4606" s="338" t="s">
        <v>417</v>
      </c>
    </row>
    <row r="4607" spans="2:16" x14ac:dyDescent="0.25">
      <c r="B4607" s="336" t="s">
        <v>416</v>
      </c>
      <c r="C4607" s="337">
        <v>38504</v>
      </c>
      <c r="D4607" s="338" t="s">
        <v>1256</v>
      </c>
      <c r="E4607" s="336" t="s">
        <v>1255</v>
      </c>
      <c r="F4607" s="338"/>
      <c r="G4607" s="338" t="s">
        <v>413</v>
      </c>
      <c r="H4607" s="338" t="s">
        <v>412</v>
      </c>
      <c r="I4607" s="338" t="s">
        <v>411</v>
      </c>
      <c r="J4607" s="339"/>
      <c r="K4607" s="339"/>
      <c r="L4607" s="339" t="s">
        <v>409</v>
      </c>
      <c r="M4607" s="339" t="s">
        <v>409</v>
      </c>
      <c r="N4607" s="338" t="s">
        <v>417</v>
      </c>
      <c r="O4607" s="338" t="s">
        <v>409</v>
      </c>
      <c r="P4607" s="338" t="s">
        <v>482</v>
      </c>
    </row>
    <row r="4608" spans="2:16" x14ac:dyDescent="0.25">
      <c r="B4608" s="336" t="s">
        <v>416</v>
      </c>
      <c r="C4608" s="337">
        <v>38503</v>
      </c>
      <c r="D4608" s="338" t="s">
        <v>1254</v>
      </c>
      <c r="E4608" s="336" t="s">
        <v>831</v>
      </c>
      <c r="F4608" s="338"/>
      <c r="G4608" s="338" t="s">
        <v>413</v>
      </c>
      <c r="H4608" s="338" t="s">
        <v>412</v>
      </c>
      <c r="I4608" s="338" t="s">
        <v>411</v>
      </c>
      <c r="J4608" s="339"/>
      <c r="K4608" s="339"/>
      <c r="L4608" s="339" t="s">
        <v>409</v>
      </c>
      <c r="M4608" s="339" t="s">
        <v>409</v>
      </c>
      <c r="N4608" s="338" t="s">
        <v>410</v>
      </c>
      <c r="O4608" s="338" t="s">
        <v>409</v>
      </c>
      <c r="P4608" s="338" t="s">
        <v>417</v>
      </c>
    </row>
    <row r="4609" spans="2:16" x14ac:dyDescent="0.25">
      <c r="B4609" s="336" t="s">
        <v>416</v>
      </c>
      <c r="C4609" s="337">
        <v>38503</v>
      </c>
      <c r="D4609" s="338" t="s">
        <v>1253</v>
      </c>
      <c r="E4609" s="336" t="s">
        <v>1056</v>
      </c>
      <c r="F4609" s="338"/>
      <c r="G4609" s="338" t="s">
        <v>413</v>
      </c>
      <c r="H4609" s="338" t="s">
        <v>412</v>
      </c>
      <c r="I4609" s="338" t="s">
        <v>411</v>
      </c>
      <c r="J4609" s="339"/>
      <c r="K4609" s="339"/>
      <c r="L4609" s="339" t="s">
        <v>409</v>
      </c>
      <c r="M4609" s="339" t="s">
        <v>409</v>
      </c>
      <c r="N4609" s="338" t="s">
        <v>417</v>
      </c>
      <c r="O4609" s="338" t="s">
        <v>409</v>
      </c>
      <c r="P4609" s="338" t="s">
        <v>417</v>
      </c>
    </row>
    <row r="4610" spans="2:16" x14ac:dyDescent="0.25">
      <c r="B4610" s="336" t="s">
        <v>416</v>
      </c>
      <c r="C4610" s="337">
        <v>38503</v>
      </c>
      <c r="D4610" s="338" t="s">
        <v>1252</v>
      </c>
      <c r="E4610" s="336" t="s">
        <v>1251</v>
      </c>
      <c r="F4610" s="338"/>
      <c r="G4610" s="338" t="s">
        <v>413</v>
      </c>
      <c r="H4610" s="338" t="s">
        <v>425</v>
      </c>
      <c r="I4610" s="338" t="s">
        <v>411</v>
      </c>
      <c r="J4610" s="339"/>
      <c r="K4610" s="339"/>
      <c r="L4610" s="339" t="s">
        <v>409</v>
      </c>
      <c r="M4610" s="339" t="s">
        <v>409</v>
      </c>
      <c r="N4610" s="338" t="s">
        <v>417</v>
      </c>
      <c r="O4610" s="338" t="s">
        <v>409</v>
      </c>
      <c r="P4610" s="338" t="s">
        <v>417</v>
      </c>
    </row>
    <row r="4611" spans="2:16" x14ac:dyDescent="0.25">
      <c r="B4611" s="336" t="s">
        <v>416</v>
      </c>
      <c r="C4611" s="337">
        <v>38503</v>
      </c>
      <c r="D4611" s="338" t="s">
        <v>1250</v>
      </c>
      <c r="E4611" s="336" t="s">
        <v>1249</v>
      </c>
      <c r="F4611" s="338"/>
      <c r="G4611" s="338">
        <v>701.62</v>
      </c>
      <c r="H4611" s="338" t="s">
        <v>429</v>
      </c>
      <c r="I4611" s="338" t="s">
        <v>411</v>
      </c>
      <c r="J4611" s="339"/>
      <c r="K4611" s="339"/>
      <c r="L4611" s="339" t="s">
        <v>409</v>
      </c>
      <c r="M4611" s="339" t="s">
        <v>409</v>
      </c>
      <c r="N4611" s="338" t="s">
        <v>417</v>
      </c>
      <c r="O4611" s="338" t="s">
        <v>409</v>
      </c>
      <c r="P4611" s="338" t="s">
        <v>417</v>
      </c>
    </row>
    <row r="4612" spans="2:16" x14ac:dyDescent="0.25">
      <c r="B4612" s="336" t="s">
        <v>416</v>
      </c>
      <c r="C4612" s="337">
        <v>38502</v>
      </c>
      <c r="D4612" s="338" t="s">
        <v>1248</v>
      </c>
      <c r="E4612" s="336" t="s">
        <v>1246</v>
      </c>
      <c r="F4612" s="338"/>
      <c r="G4612" s="338" t="s">
        <v>413</v>
      </c>
      <c r="H4612" s="338" t="s">
        <v>412</v>
      </c>
      <c r="I4612" s="338" t="s">
        <v>411</v>
      </c>
      <c r="J4612" s="339"/>
      <c r="K4612" s="339"/>
      <c r="L4612" s="339" t="s">
        <v>409</v>
      </c>
      <c r="M4612" s="339" t="s">
        <v>409</v>
      </c>
      <c r="N4612" s="338"/>
      <c r="O4612" s="338" t="s">
        <v>409</v>
      </c>
      <c r="P4612" s="338" t="s">
        <v>417</v>
      </c>
    </row>
    <row r="4613" spans="2:16" x14ac:dyDescent="0.25">
      <c r="B4613" s="336" t="s">
        <v>416</v>
      </c>
      <c r="C4613" s="337">
        <v>38502</v>
      </c>
      <c r="D4613" s="338" t="s">
        <v>1247</v>
      </c>
      <c r="E4613" s="336" t="s">
        <v>1246</v>
      </c>
      <c r="F4613" s="338"/>
      <c r="G4613" s="338" t="s">
        <v>413</v>
      </c>
      <c r="H4613" s="338" t="s">
        <v>412</v>
      </c>
      <c r="I4613" s="338" t="s">
        <v>411</v>
      </c>
      <c r="J4613" s="339"/>
      <c r="K4613" s="339"/>
      <c r="L4613" s="339" t="s">
        <v>409</v>
      </c>
      <c r="M4613" s="339" t="s">
        <v>409</v>
      </c>
      <c r="N4613" s="338"/>
      <c r="O4613" s="338" t="s">
        <v>409</v>
      </c>
      <c r="P4613" s="338" t="s">
        <v>417</v>
      </c>
    </row>
    <row r="4614" spans="2:16" x14ac:dyDescent="0.25">
      <c r="B4614" s="336" t="s">
        <v>416</v>
      </c>
      <c r="C4614" s="337">
        <v>38498</v>
      </c>
      <c r="D4614" s="338" t="s">
        <v>1245</v>
      </c>
      <c r="E4614" s="336" t="s">
        <v>423</v>
      </c>
      <c r="F4614" s="338" t="s">
        <v>1244</v>
      </c>
      <c r="G4614" s="338" t="s">
        <v>413</v>
      </c>
      <c r="H4614" s="338" t="s">
        <v>412</v>
      </c>
      <c r="I4614" s="338" t="s">
        <v>411</v>
      </c>
      <c r="J4614" s="339"/>
      <c r="K4614" s="339"/>
      <c r="L4614" s="339"/>
      <c r="M4614" s="339"/>
      <c r="N4614" s="338" t="s">
        <v>417</v>
      </c>
      <c r="O4614" s="338" t="s">
        <v>443</v>
      </c>
      <c r="P4614" s="338"/>
    </row>
    <row r="4615" spans="2:16" x14ac:dyDescent="0.25">
      <c r="B4615" s="336" t="s">
        <v>542</v>
      </c>
      <c r="C4615" s="337">
        <v>38497</v>
      </c>
      <c r="D4615" s="338" t="s">
        <v>1146</v>
      </c>
      <c r="E4615" s="336" t="s">
        <v>539</v>
      </c>
      <c r="F4615" s="338"/>
      <c r="G4615" s="338">
        <v>184.8</v>
      </c>
      <c r="H4615" s="338"/>
      <c r="I4615" s="338" t="s">
        <v>1243</v>
      </c>
      <c r="J4615" s="339">
        <v>0.32055600000000001</v>
      </c>
      <c r="K4615" s="339">
        <v>13.7141</v>
      </c>
      <c r="L4615" s="339" t="s">
        <v>409</v>
      </c>
      <c r="M4615" s="339" t="s">
        <v>409</v>
      </c>
      <c r="N4615" s="338" t="s">
        <v>417</v>
      </c>
      <c r="O4615" s="338" t="s">
        <v>409</v>
      </c>
      <c r="P4615" s="338" t="s">
        <v>417</v>
      </c>
    </row>
    <row r="4616" spans="2:16" x14ac:dyDescent="0.25">
      <c r="B4616" s="336" t="s">
        <v>541</v>
      </c>
      <c r="C4616" s="337">
        <v>38497</v>
      </c>
      <c r="D4616" s="338" t="s">
        <v>958</v>
      </c>
      <c r="E4616" s="336" t="s">
        <v>539</v>
      </c>
      <c r="F4616" s="338" t="s">
        <v>957</v>
      </c>
      <c r="G4616" s="338">
        <v>50.13</v>
      </c>
      <c r="H4616" s="338"/>
      <c r="I4616" s="338" t="s">
        <v>411</v>
      </c>
      <c r="J4616" s="339"/>
      <c r="K4616" s="339"/>
      <c r="L4616" s="339"/>
      <c r="M4616" s="339"/>
      <c r="N4616" s="338" t="s">
        <v>543</v>
      </c>
      <c r="O4616" s="338" t="s">
        <v>417</v>
      </c>
      <c r="P4616" s="338" t="s">
        <v>409</v>
      </c>
    </row>
    <row r="4617" spans="2:16" x14ac:dyDescent="0.25">
      <c r="B4617" s="336" t="s">
        <v>416</v>
      </c>
      <c r="C4617" s="337">
        <v>38496</v>
      </c>
      <c r="D4617" s="338" t="s">
        <v>1242</v>
      </c>
      <c r="E4617" s="336" t="s">
        <v>1241</v>
      </c>
      <c r="F4617" s="338" t="s">
        <v>1240</v>
      </c>
      <c r="G4617" s="338">
        <v>15</v>
      </c>
      <c r="H4617" s="338" t="s">
        <v>425</v>
      </c>
      <c r="I4617" s="338" t="s">
        <v>411</v>
      </c>
      <c r="J4617" s="339"/>
      <c r="K4617" s="339"/>
      <c r="L4617" s="339">
        <v>2.3142200000000002</v>
      </c>
      <c r="M4617" s="339">
        <v>8.7028300000000005</v>
      </c>
      <c r="N4617" s="338"/>
      <c r="O4617" s="338" t="s">
        <v>417</v>
      </c>
      <c r="P4617" s="338" t="s">
        <v>410</v>
      </c>
    </row>
    <row r="4618" spans="2:16" x14ac:dyDescent="0.25">
      <c r="B4618" s="336" t="s">
        <v>416</v>
      </c>
      <c r="C4618" s="337">
        <v>38496</v>
      </c>
      <c r="D4618" s="338" t="s">
        <v>1239</v>
      </c>
      <c r="E4618" s="336" t="s">
        <v>1238</v>
      </c>
      <c r="F4618" s="338"/>
      <c r="G4618" s="338" t="s">
        <v>413</v>
      </c>
      <c r="H4618" s="338" t="s">
        <v>425</v>
      </c>
      <c r="I4618" s="338" t="s">
        <v>411</v>
      </c>
      <c r="J4618" s="339"/>
      <c r="K4618" s="339"/>
      <c r="L4618" s="339" t="s">
        <v>409</v>
      </c>
      <c r="M4618" s="339" t="s">
        <v>409</v>
      </c>
      <c r="N4618" s="338" t="s">
        <v>487</v>
      </c>
      <c r="O4618" s="338" t="s">
        <v>409</v>
      </c>
      <c r="P4618" s="338" t="s">
        <v>487</v>
      </c>
    </row>
    <row r="4619" spans="2:16" x14ac:dyDescent="0.25">
      <c r="B4619" s="336" t="s">
        <v>416</v>
      </c>
      <c r="C4619" s="337">
        <v>38495</v>
      </c>
      <c r="D4619" s="338" t="s">
        <v>1237</v>
      </c>
      <c r="E4619" s="336" t="s">
        <v>1236</v>
      </c>
      <c r="F4619" s="338"/>
      <c r="G4619" s="338">
        <v>218.96</v>
      </c>
      <c r="H4619" s="338" t="s">
        <v>336</v>
      </c>
      <c r="I4619" s="338" t="s">
        <v>411</v>
      </c>
      <c r="J4619" s="339"/>
      <c r="K4619" s="339"/>
      <c r="L4619" s="339" t="s">
        <v>409</v>
      </c>
      <c r="M4619" s="339" t="s">
        <v>409</v>
      </c>
      <c r="N4619" s="338" t="s">
        <v>417</v>
      </c>
      <c r="O4619" s="338" t="s">
        <v>409</v>
      </c>
      <c r="P4619" s="338" t="s">
        <v>487</v>
      </c>
    </row>
    <row r="4620" spans="2:16" x14ac:dyDescent="0.25">
      <c r="B4620" s="336" t="s">
        <v>416</v>
      </c>
      <c r="C4620" s="337">
        <v>38495</v>
      </c>
      <c r="D4620" s="338" t="s">
        <v>1235</v>
      </c>
      <c r="E4620" s="336" t="s">
        <v>1234</v>
      </c>
      <c r="F4620" s="338" t="s">
        <v>1233</v>
      </c>
      <c r="G4620" s="338">
        <v>10</v>
      </c>
      <c r="H4620" s="338" t="s">
        <v>412</v>
      </c>
      <c r="I4620" s="338" t="s">
        <v>411</v>
      </c>
      <c r="J4620" s="339"/>
      <c r="K4620" s="339"/>
      <c r="L4620" s="339"/>
      <c r="M4620" s="339"/>
      <c r="N4620" s="338" t="s">
        <v>417</v>
      </c>
      <c r="O4620" s="338" t="s">
        <v>417</v>
      </c>
      <c r="P4620" s="338" t="s">
        <v>417</v>
      </c>
    </row>
    <row r="4621" spans="2:16" x14ac:dyDescent="0.25">
      <c r="B4621" s="336" t="s">
        <v>459</v>
      </c>
      <c r="C4621" s="337">
        <v>38492</v>
      </c>
      <c r="D4621" s="338" t="s">
        <v>1232</v>
      </c>
      <c r="E4621" s="336" t="s">
        <v>1231</v>
      </c>
      <c r="F4621" s="338"/>
      <c r="G4621" s="338" t="s">
        <v>413</v>
      </c>
      <c r="H4621" s="338" t="s">
        <v>425</v>
      </c>
      <c r="I4621" s="338" t="s">
        <v>411</v>
      </c>
      <c r="J4621" s="339"/>
      <c r="K4621" s="339"/>
      <c r="L4621" s="339" t="s">
        <v>409</v>
      </c>
      <c r="M4621" s="339" t="s">
        <v>409</v>
      </c>
      <c r="N4621" s="338" t="s">
        <v>417</v>
      </c>
      <c r="O4621" s="338" t="s">
        <v>409</v>
      </c>
      <c r="P4621" s="338" t="s">
        <v>443</v>
      </c>
    </row>
    <row r="4622" spans="2:16" x14ac:dyDescent="0.25">
      <c r="B4622" s="336" t="s">
        <v>416</v>
      </c>
      <c r="C4622" s="337">
        <v>38492</v>
      </c>
      <c r="D4622" s="338" t="s">
        <v>1230</v>
      </c>
      <c r="E4622" s="336" t="s">
        <v>1229</v>
      </c>
      <c r="F4622" s="338" t="s">
        <v>1228</v>
      </c>
      <c r="G4622" s="338">
        <v>793.99</v>
      </c>
      <c r="H4622" s="338" t="s">
        <v>425</v>
      </c>
      <c r="I4622" s="338" t="s">
        <v>411</v>
      </c>
      <c r="J4622" s="339"/>
      <c r="K4622" s="339"/>
      <c r="L4622" s="339">
        <v>1.84887</v>
      </c>
      <c r="M4622" s="339">
        <v>10.621600000000001</v>
      </c>
      <c r="N4622" s="338"/>
      <c r="O4622" s="338" t="s">
        <v>410</v>
      </c>
      <c r="P4622" s="338" t="s">
        <v>410</v>
      </c>
    </row>
    <row r="4623" spans="2:16" x14ac:dyDescent="0.25">
      <c r="B4623" s="336" t="s">
        <v>416</v>
      </c>
      <c r="C4623" s="337">
        <v>38491</v>
      </c>
      <c r="D4623" s="338" t="s">
        <v>1227</v>
      </c>
      <c r="E4623" s="336" t="s">
        <v>656</v>
      </c>
      <c r="F4623" s="338"/>
      <c r="G4623" s="338" t="s">
        <v>413</v>
      </c>
      <c r="H4623" s="338" t="s">
        <v>412</v>
      </c>
      <c r="I4623" s="338" t="s">
        <v>411</v>
      </c>
      <c r="J4623" s="339"/>
      <c r="K4623" s="339"/>
      <c r="L4623" s="339" t="s">
        <v>409</v>
      </c>
      <c r="M4623" s="339" t="s">
        <v>409</v>
      </c>
      <c r="N4623" s="338" t="s">
        <v>417</v>
      </c>
      <c r="O4623" s="338" t="s">
        <v>409</v>
      </c>
      <c r="P4623" s="338" t="s">
        <v>408</v>
      </c>
    </row>
    <row r="4624" spans="2:16" x14ac:dyDescent="0.25">
      <c r="B4624" s="336" t="s">
        <v>416</v>
      </c>
      <c r="C4624" s="337">
        <v>38491</v>
      </c>
      <c r="D4624" s="338" t="s">
        <v>1226</v>
      </c>
      <c r="E4624" s="336" t="s">
        <v>1225</v>
      </c>
      <c r="F4624" s="338" t="s">
        <v>1224</v>
      </c>
      <c r="G4624" s="338" t="s">
        <v>413</v>
      </c>
      <c r="H4624" s="338" t="s">
        <v>425</v>
      </c>
      <c r="I4624" s="338" t="s">
        <v>411</v>
      </c>
      <c r="J4624" s="339"/>
      <c r="K4624" s="339"/>
      <c r="L4624" s="339"/>
      <c r="M4624" s="339"/>
      <c r="N4624" s="338"/>
      <c r="O4624" s="338" t="s">
        <v>408</v>
      </c>
      <c r="P4624" s="338" t="s">
        <v>417</v>
      </c>
    </row>
    <row r="4625" spans="2:16" x14ac:dyDescent="0.25">
      <c r="B4625" s="336" t="s">
        <v>416</v>
      </c>
      <c r="C4625" s="337">
        <v>38491</v>
      </c>
      <c r="D4625" s="338" t="s">
        <v>1223</v>
      </c>
      <c r="E4625" s="336" t="s">
        <v>1222</v>
      </c>
      <c r="F4625" s="338"/>
      <c r="G4625" s="338">
        <v>29</v>
      </c>
      <c r="H4625" s="338" t="s">
        <v>425</v>
      </c>
      <c r="I4625" s="338" t="s">
        <v>411</v>
      </c>
      <c r="J4625" s="339"/>
      <c r="K4625" s="339"/>
      <c r="L4625" s="339" t="s">
        <v>409</v>
      </c>
      <c r="M4625" s="339" t="s">
        <v>409</v>
      </c>
      <c r="N4625" s="338" t="s">
        <v>417</v>
      </c>
      <c r="O4625" s="338" t="s">
        <v>409</v>
      </c>
      <c r="P4625" s="338" t="s">
        <v>417</v>
      </c>
    </row>
    <row r="4626" spans="2:16" x14ac:dyDescent="0.25">
      <c r="B4626" s="336" t="s">
        <v>416</v>
      </c>
      <c r="C4626" s="337">
        <v>38491</v>
      </c>
      <c r="D4626" s="338" t="s">
        <v>1221</v>
      </c>
      <c r="E4626" s="336" t="s">
        <v>1220</v>
      </c>
      <c r="F4626" s="338" t="s">
        <v>1219</v>
      </c>
      <c r="G4626" s="338">
        <v>218</v>
      </c>
      <c r="H4626" s="338" t="s">
        <v>425</v>
      </c>
      <c r="I4626" s="338" t="s">
        <v>411</v>
      </c>
      <c r="J4626" s="339"/>
      <c r="K4626" s="339"/>
      <c r="L4626" s="339"/>
      <c r="M4626" s="339"/>
      <c r="N4626" s="338" t="s">
        <v>417</v>
      </c>
      <c r="O4626" s="338" t="s">
        <v>443</v>
      </c>
      <c r="P4626" s="338" t="s">
        <v>417</v>
      </c>
    </row>
    <row r="4627" spans="2:16" x14ac:dyDescent="0.25">
      <c r="B4627" s="336" t="s">
        <v>416</v>
      </c>
      <c r="C4627" s="337">
        <v>38490</v>
      </c>
      <c r="D4627" s="338" t="s">
        <v>1218</v>
      </c>
      <c r="E4627" s="336" t="s">
        <v>1217</v>
      </c>
      <c r="F4627" s="338"/>
      <c r="G4627" s="338" t="s">
        <v>413</v>
      </c>
      <c r="H4627" s="338" t="s">
        <v>412</v>
      </c>
      <c r="I4627" s="338" t="s">
        <v>411</v>
      </c>
      <c r="J4627" s="339"/>
      <c r="K4627" s="339"/>
      <c r="L4627" s="339" t="s">
        <v>409</v>
      </c>
      <c r="M4627" s="339" t="s">
        <v>409</v>
      </c>
      <c r="N4627" s="338" t="s">
        <v>410</v>
      </c>
      <c r="O4627" s="338" t="s">
        <v>409</v>
      </c>
      <c r="P4627" s="338" t="s">
        <v>410</v>
      </c>
    </row>
    <row r="4628" spans="2:16" x14ac:dyDescent="0.25">
      <c r="B4628" s="336" t="s">
        <v>416</v>
      </c>
      <c r="C4628" s="337">
        <v>38489</v>
      </c>
      <c r="D4628" s="338" t="s">
        <v>1216</v>
      </c>
      <c r="E4628" s="336" t="s">
        <v>714</v>
      </c>
      <c r="F4628" s="338" t="s">
        <v>1215</v>
      </c>
      <c r="G4628" s="338" t="s">
        <v>413</v>
      </c>
      <c r="H4628" s="338" t="s">
        <v>412</v>
      </c>
      <c r="I4628" s="338" t="s">
        <v>411</v>
      </c>
      <c r="J4628" s="339"/>
      <c r="K4628" s="339"/>
      <c r="L4628" s="339"/>
      <c r="M4628" s="339"/>
      <c r="N4628" s="338"/>
      <c r="O4628" s="338" t="s">
        <v>417</v>
      </c>
      <c r="P4628" s="338" t="s">
        <v>417</v>
      </c>
    </row>
    <row r="4629" spans="2:16" x14ac:dyDescent="0.25">
      <c r="B4629" s="336" t="s">
        <v>416</v>
      </c>
      <c r="C4629" s="337">
        <v>38489</v>
      </c>
      <c r="D4629" s="338" t="s">
        <v>1214</v>
      </c>
      <c r="E4629" s="336" t="s">
        <v>656</v>
      </c>
      <c r="F4629" s="338"/>
      <c r="G4629" s="338" t="s">
        <v>413</v>
      </c>
      <c r="H4629" s="338" t="s">
        <v>412</v>
      </c>
      <c r="I4629" s="338" t="s">
        <v>411</v>
      </c>
      <c r="J4629" s="339"/>
      <c r="K4629" s="339"/>
      <c r="L4629" s="339" t="s">
        <v>409</v>
      </c>
      <c r="M4629" s="339" t="s">
        <v>409</v>
      </c>
      <c r="N4629" s="338" t="s">
        <v>612</v>
      </c>
      <c r="O4629" s="338" t="s">
        <v>409</v>
      </c>
      <c r="P4629" s="338" t="s">
        <v>408</v>
      </c>
    </row>
    <row r="4630" spans="2:16" x14ac:dyDescent="0.25">
      <c r="B4630" s="336" t="s">
        <v>416</v>
      </c>
      <c r="C4630" s="337">
        <v>38489</v>
      </c>
      <c r="D4630" s="338" t="s">
        <v>1213</v>
      </c>
      <c r="E4630" s="336" t="s">
        <v>514</v>
      </c>
      <c r="F4630" s="338" t="s">
        <v>860</v>
      </c>
      <c r="G4630" s="338">
        <v>0.19</v>
      </c>
      <c r="H4630" s="338" t="s">
        <v>336</v>
      </c>
      <c r="I4630" s="338" t="s">
        <v>411</v>
      </c>
      <c r="J4630" s="339"/>
      <c r="K4630" s="339"/>
      <c r="L4630" s="339"/>
      <c r="M4630" s="339"/>
      <c r="N4630" s="338" t="s">
        <v>443</v>
      </c>
      <c r="O4630" s="338" t="s">
        <v>417</v>
      </c>
      <c r="P4630" s="338"/>
    </row>
    <row r="4631" spans="2:16" x14ac:dyDescent="0.25">
      <c r="B4631" s="336" t="s">
        <v>416</v>
      </c>
      <c r="C4631" s="337">
        <v>38489</v>
      </c>
      <c r="D4631" s="338" t="s">
        <v>1212</v>
      </c>
      <c r="E4631" s="336" t="s">
        <v>1211</v>
      </c>
      <c r="F4631" s="338" t="s">
        <v>1210</v>
      </c>
      <c r="G4631" s="338">
        <v>70</v>
      </c>
      <c r="H4631" s="338" t="s">
        <v>412</v>
      </c>
      <c r="I4631" s="338" t="s">
        <v>411</v>
      </c>
      <c r="J4631" s="339"/>
      <c r="K4631" s="339"/>
      <c r="L4631" s="339">
        <v>2.3129300000000002</v>
      </c>
      <c r="M4631" s="339">
        <v>9.3974899999999995</v>
      </c>
      <c r="N4631" s="338" t="s">
        <v>410</v>
      </c>
      <c r="O4631" s="338" t="s">
        <v>417</v>
      </c>
      <c r="P4631" s="338" t="s">
        <v>417</v>
      </c>
    </row>
    <row r="4632" spans="2:16" x14ac:dyDescent="0.25">
      <c r="B4632" s="336" t="s">
        <v>416</v>
      </c>
      <c r="C4632" s="337">
        <v>38488</v>
      </c>
      <c r="D4632" s="338" t="s">
        <v>1209</v>
      </c>
      <c r="E4632" s="336" t="s">
        <v>1208</v>
      </c>
      <c r="F4632" s="338" t="s">
        <v>1207</v>
      </c>
      <c r="G4632" s="338" t="s">
        <v>413</v>
      </c>
      <c r="H4632" s="338" t="s">
        <v>412</v>
      </c>
      <c r="I4632" s="338" t="s">
        <v>411</v>
      </c>
      <c r="J4632" s="339"/>
      <c r="K4632" s="339"/>
      <c r="L4632" s="339"/>
      <c r="M4632" s="339"/>
      <c r="N4632" s="338"/>
      <c r="O4632" s="338" t="s">
        <v>417</v>
      </c>
      <c r="P4632" s="338" t="s">
        <v>417</v>
      </c>
    </row>
    <row r="4633" spans="2:16" x14ac:dyDescent="0.25">
      <c r="B4633" s="336" t="s">
        <v>416</v>
      </c>
      <c r="C4633" s="337">
        <v>38488</v>
      </c>
      <c r="D4633" s="338" t="s">
        <v>1206</v>
      </c>
      <c r="E4633" s="336" t="s">
        <v>1205</v>
      </c>
      <c r="F4633" s="338" t="s">
        <v>761</v>
      </c>
      <c r="G4633" s="338">
        <v>62</v>
      </c>
      <c r="H4633" s="338" t="s">
        <v>425</v>
      </c>
      <c r="I4633" s="338" t="s">
        <v>411</v>
      </c>
      <c r="J4633" s="339"/>
      <c r="K4633" s="339"/>
      <c r="L4633" s="339">
        <v>2.8752</v>
      </c>
      <c r="M4633" s="339">
        <v>15.0625</v>
      </c>
      <c r="N4633" s="338"/>
      <c r="O4633" s="338" t="s">
        <v>417</v>
      </c>
      <c r="P4633" s="338" t="s">
        <v>443</v>
      </c>
    </row>
    <row r="4634" spans="2:16" x14ac:dyDescent="0.25">
      <c r="B4634" s="336" t="s">
        <v>416</v>
      </c>
      <c r="C4634" s="337">
        <v>38485</v>
      </c>
      <c r="D4634" s="338" t="s">
        <v>1204</v>
      </c>
      <c r="E4634" s="336" t="s">
        <v>1203</v>
      </c>
      <c r="F4634" s="338"/>
      <c r="G4634" s="338" t="s">
        <v>413</v>
      </c>
      <c r="H4634" s="338" t="s">
        <v>412</v>
      </c>
      <c r="I4634" s="338" t="s">
        <v>411</v>
      </c>
      <c r="J4634" s="339"/>
      <c r="K4634" s="339"/>
      <c r="L4634" s="339" t="s">
        <v>409</v>
      </c>
      <c r="M4634" s="339" t="s">
        <v>409</v>
      </c>
      <c r="N4634" s="338"/>
      <c r="O4634" s="338" t="s">
        <v>409</v>
      </c>
      <c r="P4634" s="338" t="s">
        <v>417</v>
      </c>
    </row>
    <row r="4635" spans="2:16" x14ac:dyDescent="0.25">
      <c r="B4635" s="336" t="s">
        <v>416</v>
      </c>
      <c r="C4635" s="337">
        <v>38485</v>
      </c>
      <c r="D4635" s="338" t="s">
        <v>1202</v>
      </c>
      <c r="E4635" s="336" t="s">
        <v>983</v>
      </c>
      <c r="F4635" s="338"/>
      <c r="G4635" s="338" t="s">
        <v>413</v>
      </c>
      <c r="H4635" s="338" t="s">
        <v>412</v>
      </c>
      <c r="I4635" s="338" t="s">
        <v>411</v>
      </c>
      <c r="J4635" s="339"/>
      <c r="K4635" s="339"/>
      <c r="L4635" s="339" t="s">
        <v>409</v>
      </c>
      <c r="M4635" s="339" t="s">
        <v>409</v>
      </c>
      <c r="N4635" s="338"/>
      <c r="O4635" s="338" t="s">
        <v>409</v>
      </c>
      <c r="P4635" s="338" t="s">
        <v>417</v>
      </c>
    </row>
    <row r="4636" spans="2:16" x14ac:dyDescent="0.25">
      <c r="B4636" s="336" t="s">
        <v>416</v>
      </c>
      <c r="C4636" s="337">
        <v>38484</v>
      </c>
      <c r="D4636" s="338" t="s">
        <v>1201</v>
      </c>
      <c r="E4636" s="336" t="s">
        <v>1200</v>
      </c>
      <c r="F4636" s="338"/>
      <c r="G4636" s="338" t="s">
        <v>413</v>
      </c>
      <c r="H4636" s="338" t="s">
        <v>336</v>
      </c>
      <c r="I4636" s="338" t="s">
        <v>411</v>
      </c>
      <c r="J4636" s="339"/>
      <c r="K4636" s="339"/>
      <c r="L4636" s="339" t="s">
        <v>409</v>
      </c>
      <c r="M4636" s="339" t="s">
        <v>409</v>
      </c>
      <c r="N4636" s="338" t="s">
        <v>410</v>
      </c>
      <c r="O4636" s="338" t="s">
        <v>409</v>
      </c>
      <c r="P4636" s="338" t="s">
        <v>410</v>
      </c>
    </row>
    <row r="4637" spans="2:16" x14ac:dyDescent="0.25">
      <c r="B4637" s="336" t="s">
        <v>416</v>
      </c>
      <c r="C4637" s="337">
        <v>38483</v>
      </c>
      <c r="D4637" s="338" t="s">
        <v>1199</v>
      </c>
      <c r="E4637" s="336" t="s">
        <v>656</v>
      </c>
      <c r="F4637" s="338"/>
      <c r="G4637" s="338" t="s">
        <v>413</v>
      </c>
      <c r="H4637" s="338" t="s">
        <v>412</v>
      </c>
      <c r="I4637" s="338" t="s">
        <v>411</v>
      </c>
      <c r="J4637" s="339"/>
      <c r="K4637" s="339"/>
      <c r="L4637" s="339" t="s">
        <v>409</v>
      </c>
      <c r="M4637" s="339" t="s">
        <v>409</v>
      </c>
      <c r="N4637" s="338" t="s">
        <v>612</v>
      </c>
      <c r="O4637" s="338" t="s">
        <v>409</v>
      </c>
      <c r="P4637" s="338" t="s">
        <v>408</v>
      </c>
    </row>
    <row r="4638" spans="2:16" x14ac:dyDescent="0.25">
      <c r="B4638" s="336" t="s">
        <v>416</v>
      </c>
      <c r="C4638" s="337">
        <v>38482</v>
      </c>
      <c r="D4638" s="338" t="s">
        <v>1198</v>
      </c>
      <c r="E4638" s="336" t="s">
        <v>1197</v>
      </c>
      <c r="F4638" s="338" t="s">
        <v>1196</v>
      </c>
      <c r="G4638" s="338" t="s">
        <v>413</v>
      </c>
      <c r="H4638" s="338" t="s">
        <v>425</v>
      </c>
      <c r="I4638" s="338" t="s">
        <v>411</v>
      </c>
      <c r="J4638" s="339"/>
      <c r="K4638" s="339"/>
      <c r="L4638" s="339"/>
      <c r="M4638" s="339"/>
      <c r="N4638" s="338" t="s">
        <v>417</v>
      </c>
      <c r="O4638" s="338" t="s">
        <v>443</v>
      </c>
      <c r="P4638" s="338" t="s">
        <v>443</v>
      </c>
    </row>
    <row r="4639" spans="2:16" x14ac:dyDescent="0.25">
      <c r="B4639" s="336" t="s">
        <v>416</v>
      </c>
      <c r="C4639" s="337">
        <v>38481</v>
      </c>
      <c r="D4639" s="338" t="s">
        <v>1195</v>
      </c>
      <c r="E4639" s="336" t="s">
        <v>1194</v>
      </c>
      <c r="F4639" s="338"/>
      <c r="G4639" s="338" t="s">
        <v>413</v>
      </c>
      <c r="H4639" s="338" t="s">
        <v>412</v>
      </c>
      <c r="I4639" s="338" t="s">
        <v>411</v>
      </c>
      <c r="J4639" s="339"/>
      <c r="K4639" s="339"/>
      <c r="L4639" s="339" t="s">
        <v>409</v>
      </c>
      <c r="M4639" s="339" t="s">
        <v>409</v>
      </c>
      <c r="N4639" s="338" t="s">
        <v>417</v>
      </c>
      <c r="O4639" s="338" t="s">
        <v>409</v>
      </c>
      <c r="P4639" s="338" t="s">
        <v>417</v>
      </c>
    </row>
    <row r="4640" spans="2:16" x14ac:dyDescent="0.25">
      <c r="B4640" s="336" t="s">
        <v>459</v>
      </c>
      <c r="C4640" s="337">
        <v>38481</v>
      </c>
      <c r="D4640" s="338" t="s">
        <v>1193</v>
      </c>
      <c r="E4640" s="336" t="s">
        <v>1192</v>
      </c>
      <c r="F4640" s="338"/>
      <c r="G4640" s="338">
        <v>3</v>
      </c>
      <c r="H4640" s="338" t="s">
        <v>425</v>
      </c>
      <c r="I4640" s="338" t="s">
        <v>411</v>
      </c>
      <c r="J4640" s="339"/>
      <c r="K4640" s="339"/>
      <c r="L4640" s="339" t="s">
        <v>409</v>
      </c>
      <c r="M4640" s="339" t="s">
        <v>409</v>
      </c>
      <c r="N4640" s="338" t="s">
        <v>417</v>
      </c>
      <c r="O4640" s="338" t="s">
        <v>409</v>
      </c>
      <c r="P4640" s="338" t="s">
        <v>612</v>
      </c>
    </row>
    <row r="4641" spans="2:16" x14ac:dyDescent="0.25">
      <c r="B4641" s="336" t="s">
        <v>416</v>
      </c>
      <c r="C4641" s="337">
        <v>38481</v>
      </c>
      <c r="D4641" s="338" t="s">
        <v>1191</v>
      </c>
      <c r="E4641" s="336" t="s">
        <v>1190</v>
      </c>
      <c r="F4641" s="338" t="s">
        <v>1189</v>
      </c>
      <c r="G4641" s="338">
        <v>118.8</v>
      </c>
      <c r="H4641" s="338" t="s">
        <v>425</v>
      </c>
      <c r="I4641" s="338" t="s">
        <v>411</v>
      </c>
      <c r="J4641" s="339"/>
      <c r="K4641" s="339"/>
      <c r="L4641" s="339"/>
      <c r="M4641" s="339"/>
      <c r="N4641" s="338"/>
      <c r="O4641" s="338" t="s">
        <v>417</v>
      </c>
      <c r="P4641" s="338" t="s">
        <v>417</v>
      </c>
    </row>
    <row r="4642" spans="2:16" x14ac:dyDescent="0.25">
      <c r="B4642" s="336" t="s">
        <v>416</v>
      </c>
      <c r="C4642" s="337">
        <v>38481</v>
      </c>
      <c r="D4642" s="338" t="s">
        <v>1149</v>
      </c>
      <c r="E4642" s="336" t="s">
        <v>1188</v>
      </c>
      <c r="F4642" s="338"/>
      <c r="G4642" s="338">
        <v>80.87</v>
      </c>
      <c r="H4642" s="338" t="s">
        <v>429</v>
      </c>
      <c r="I4642" s="338" t="s">
        <v>411</v>
      </c>
      <c r="J4642" s="339"/>
      <c r="K4642" s="339"/>
      <c r="L4642" s="339" t="s">
        <v>409</v>
      </c>
      <c r="M4642" s="339" t="s">
        <v>409</v>
      </c>
      <c r="N4642" s="338" t="s">
        <v>417</v>
      </c>
      <c r="O4642" s="338" t="s">
        <v>409</v>
      </c>
      <c r="P4642" s="338" t="s">
        <v>417</v>
      </c>
    </row>
    <row r="4643" spans="2:16" x14ac:dyDescent="0.25">
      <c r="B4643" s="336" t="s">
        <v>416</v>
      </c>
      <c r="C4643" s="337">
        <v>38481</v>
      </c>
      <c r="D4643" s="338" t="s">
        <v>1187</v>
      </c>
      <c r="E4643" s="336" t="s">
        <v>1186</v>
      </c>
      <c r="F4643" s="338"/>
      <c r="G4643" s="338">
        <v>4.62</v>
      </c>
      <c r="H4643" s="338" t="s">
        <v>336</v>
      </c>
      <c r="I4643" s="338" t="s">
        <v>411</v>
      </c>
      <c r="J4643" s="339"/>
      <c r="K4643" s="339"/>
      <c r="L4643" s="339" t="s">
        <v>409</v>
      </c>
      <c r="M4643" s="339" t="s">
        <v>409</v>
      </c>
      <c r="N4643" s="338" t="s">
        <v>410</v>
      </c>
      <c r="O4643" s="338" t="s">
        <v>409</v>
      </c>
      <c r="P4643" s="338" t="s">
        <v>410</v>
      </c>
    </row>
    <row r="4644" spans="2:16" x14ac:dyDescent="0.25">
      <c r="B4644" s="336" t="s">
        <v>416</v>
      </c>
      <c r="C4644" s="337">
        <v>38481</v>
      </c>
      <c r="D4644" s="338" t="s">
        <v>1185</v>
      </c>
      <c r="E4644" s="336" t="s">
        <v>814</v>
      </c>
      <c r="F4644" s="338"/>
      <c r="G4644" s="338">
        <v>46.5</v>
      </c>
      <c r="H4644" s="338" t="s">
        <v>425</v>
      </c>
      <c r="I4644" s="338" t="s">
        <v>411</v>
      </c>
      <c r="J4644" s="339"/>
      <c r="K4644" s="339"/>
      <c r="L4644" s="339" t="s">
        <v>409</v>
      </c>
      <c r="M4644" s="339" t="s">
        <v>409</v>
      </c>
      <c r="N4644" s="338" t="s">
        <v>417</v>
      </c>
      <c r="O4644" s="338" t="s">
        <v>409</v>
      </c>
      <c r="P4644" s="338" t="s">
        <v>410</v>
      </c>
    </row>
    <row r="4645" spans="2:16" x14ac:dyDescent="0.25">
      <c r="B4645" s="336" t="s">
        <v>459</v>
      </c>
      <c r="C4645" s="337">
        <v>38481</v>
      </c>
      <c r="D4645" s="338" t="s">
        <v>1184</v>
      </c>
      <c r="E4645" s="336" t="s">
        <v>1183</v>
      </c>
      <c r="F4645" s="338"/>
      <c r="G4645" s="338">
        <v>20</v>
      </c>
      <c r="H4645" s="338" t="s">
        <v>425</v>
      </c>
      <c r="I4645" s="338" t="s">
        <v>411</v>
      </c>
      <c r="J4645" s="339">
        <v>5.4962299999999997</v>
      </c>
      <c r="K4645" s="339">
        <v>46.257399999999997</v>
      </c>
      <c r="L4645" s="339" t="s">
        <v>409</v>
      </c>
      <c r="M4645" s="339" t="s">
        <v>409</v>
      </c>
      <c r="N4645" s="338" t="s">
        <v>417</v>
      </c>
      <c r="O4645" s="338" t="s">
        <v>409</v>
      </c>
      <c r="P4645" s="338" t="s">
        <v>443</v>
      </c>
    </row>
    <row r="4646" spans="2:16" x14ac:dyDescent="0.25">
      <c r="B4646" s="336" t="s">
        <v>416</v>
      </c>
      <c r="C4646" s="337">
        <v>38478</v>
      </c>
      <c r="D4646" s="338" t="s">
        <v>1182</v>
      </c>
      <c r="E4646" s="336" t="s">
        <v>1181</v>
      </c>
      <c r="F4646" s="338"/>
      <c r="G4646" s="338" t="s">
        <v>413</v>
      </c>
      <c r="H4646" s="338" t="s">
        <v>412</v>
      </c>
      <c r="I4646" s="338" t="s">
        <v>411</v>
      </c>
      <c r="J4646" s="339"/>
      <c r="K4646" s="339"/>
      <c r="L4646" s="339" t="s">
        <v>409</v>
      </c>
      <c r="M4646" s="339" t="s">
        <v>409</v>
      </c>
      <c r="N4646" s="338" t="s">
        <v>417</v>
      </c>
      <c r="O4646" s="338" t="s">
        <v>409</v>
      </c>
      <c r="P4646" s="338" t="s">
        <v>487</v>
      </c>
    </row>
    <row r="4647" spans="2:16" x14ac:dyDescent="0.25">
      <c r="B4647" s="336" t="s">
        <v>416</v>
      </c>
      <c r="C4647" s="337">
        <v>38477</v>
      </c>
      <c r="D4647" s="338" t="s">
        <v>1180</v>
      </c>
      <c r="E4647" s="336" t="s">
        <v>761</v>
      </c>
      <c r="F4647" s="338"/>
      <c r="G4647" s="338" t="s">
        <v>413</v>
      </c>
      <c r="H4647" s="338" t="s">
        <v>412</v>
      </c>
      <c r="I4647" s="338" t="s">
        <v>411</v>
      </c>
      <c r="J4647" s="339"/>
      <c r="K4647" s="339"/>
      <c r="L4647" s="339" t="s">
        <v>409</v>
      </c>
      <c r="M4647" s="339" t="s">
        <v>409</v>
      </c>
      <c r="N4647" s="338"/>
      <c r="O4647" s="338" t="s">
        <v>409</v>
      </c>
      <c r="P4647" s="338" t="s">
        <v>417</v>
      </c>
    </row>
    <row r="4648" spans="2:16" x14ac:dyDescent="0.25">
      <c r="B4648" s="336" t="s">
        <v>416</v>
      </c>
      <c r="C4648" s="337">
        <v>38476</v>
      </c>
      <c r="D4648" s="338" t="s">
        <v>1179</v>
      </c>
      <c r="E4648" s="336" t="s">
        <v>566</v>
      </c>
      <c r="F4648" s="338"/>
      <c r="G4648" s="338">
        <v>330</v>
      </c>
      <c r="H4648" s="338" t="s">
        <v>425</v>
      </c>
      <c r="I4648" s="338" t="s">
        <v>411</v>
      </c>
      <c r="J4648" s="339"/>
      <c r="K4648" s="339"/>
      <c r="L4648" s="339" t="s">
        <v>409</v>
      </c>
      <c r="M4648" s="339" t="s">
        <v>409</v>
      </c>
      <c r="N4648" s="338" t="s">
        <v>612</v>
      </c>
      <c r="O4648" s="338" t="s">
        <v>409</v>
      </c>
      <c r="P4648" s="338" t="s">
        <v>410</v>
      </c>
    </row>
    <row r="4649" spans="2:16" x14ac:dyDescent="0.25">
      <c r="B4649" s="336" t="s">
        <v>416</v>
      </c>
      <c r="C4649" s="337">
        <v>38476</v>
      </c>
      <c r="D4649" s="338" t="s">
        <v>1178</v>
      </c>
      <c r="E4649" s="336" t="s">
        <v>1177</v>
      </c>
      <c r="F4649" s="338"/>
      <c r="G4649" s="338" t="s">
        <v>413</v>
      </c>
      <c r="H4649" s="338" t="s">
        <v>412</v>
      </c>
      <c r="I4649" s="338" t="s">
        <v>411</v>
      </c>
      <c r="J4649" s="339"/>
      <c r="K4649" s="339"/>
      <c r="L4649" s="339" t="s">
        <v>409</v>
      </c>
      <c r="M4649" s="339" t="s">
        <v>409</v>
      </c>
      <c r="N4649" s="338" t="s">
        <v>410</v>
      </c>
      <c r="O4649" s="338" t="s">
        <v>409</v>
      </c>
      <c r="P4649" s="338"/>
    </row>
    <row r="4650" spans="2:16" x14ac:dyDescent="0.25">
      <c r="B4650" s="336" t="s">
        <v>416</v>
      </c>
      <c r="C4650" s="337">
        <v>38476</v>
      </c>
      <c r="D4650" s="338" t="s">
        <v>1176</v>
      </c>
      <c r="E4650" s="336" t="s">
        <v>1175</v>
      </c>
      <c r="F4650" s="338"/>
      <c r="G4650" s="338" t="s">
        <v>413</v>
      </c>
      <c r="H4650" s="338" t="s">
        <v>412</v>
      </c>
      <c r="I4650" s="338" t="s">
        <v>411</v>
      </c>
      <c r="J4650" s="339"/>
      <c r="K4650" s="339"/>
      <c r="L4650" s="339" t="s">
        <v>409</v>
      </c>
      <c r="M4650" s="339" t="s">
        <v>409</v>
      </c>
      <c r="N4650" s="338"/>
      <c r="O4650" s="338" t="s">
        <v>409</v>
      </c>
      <c r="P4650" s="338" t="s">
        <v>417</v>
      </c>
    </row>
    <row r="4651" spans="2:16" x14ac:dyDescent="0.25">
      <c r="B4651" s="336" t="s">
        <v>416</v>
      </c>
      <c r="C4651" s="337">
        <v>38475</v>
      </c>
      <c r="D4651" s="338" t="s">
        <v>1174</v>
      </c>
      <c r="E4651" s="336" t="s">
        <v>598</v>
      </c>
      <c r="F4651" s="338"/>
      <c r="G4651" s="338" t="s">
        <v>413</v>
      </c>
      <c r="H4651" s="338" t="s">
        <v>412</v>
      </c>
      <c r="I4651" s="338" t="s">
        <v>411</v>
      </c>
      <c r="J4651" s="339"/>
      <c r="K4651" s="339"/>
      <c r="L4651" s="339" t="s">
        <v>409</v>
      </c>
      <c r="M4651" s="339" t="s">
        <v>409</v>
      </c>
      <c r="N4651" s="338"/>
      <c r="O4651" s="338" t="s">
        <v>409</v>
      </c>
      <c r="P4651" s="338" t="s">
        <v>417</v>
      </c>
    </row>
    <row r="4652" spans="2:16" x14ac:dyDescent="0.25">
      <c r="B4652" s="336" t="s">
        <v>416</v>
      </c>
      <c r="C4652" s="337">
        <v>38474</v>
      </c>
      <c r="D4652" s="338" t="s">
        <v>1173</v>
      </c>
      <c r="E4652" s="336" t="s">
        <v>1172</v>
      </c>
      <c r="F4652" s="338"/>
      <c r="G4652" s="338">
        <v>61</v>
      </c>
      <c r="H4652" s="338" t="s">
        <v>425</v>
      </c>
      <c r="I4652" s="338" t="s">
        <v>411</v>
      </c>
      <c r="J4652" s="339"/>
      <c r="K4652" s="339"/>
      <c r="L4652" s="339" t="s">
        <v>409</v>
      </c>
      <c r="M4652" s="339" t="s">
        <v>409</v>
      </c>
      <c r="N4652" s="338" t="s">
        <v>417</v>
      </c>
      <c r="O4652" s="338" t="s">
        <v>409</v>
      </c>
      <c r="P4652" s="338" t="s">
        <v>417</v>
      </c>
    </row>
    <row r="4653" spans="2:16" x14ac:dyDescent="0.25">
      <c r="B4653" s="336" t="s">
        <v>416</v>
      </c>
      <c r="C4653" s="337">
        <v>38474</v>
      </c>
      <c r="D4653" s="338" t="s">
        <v>1171</v>
      </c>
      <c r="E4653" s="336" t="s">
        <v>1170</v>
      </c>
      <c r="F4653" s="338"/>
      <c r="G4653" s="338" t="s">
        <v>413</v>
      </c>
      <c r="H4653" s="338" t="s">
        <v>412</v>
      </c>
      <c r="I4653" s="338" t="s">
        <v>411</v>
      </c>
      <c r="J4653" s="339"/>
      <c r="K4653" s="339"/>
      <c r="L4653" s="339" t="s">
        <v>409</v>
      </c>
      <c r="M4653" s="339" t="s">
        <v>409</v>
      </c>
      <c r="N4653" s="338" t="s">
        <v>417</v>
      </c>
      <c r="O4653" s="338" t="s">
        <v>409</v>
      </c>
      <c r="P4653" s="338" t="s">
        <v>417</v>
      </c>
    </row>
    <row r="4654" spans="2:16" x14ac:dyDescent="0.25">
      <c r="B4654" s="336" t="s">
        <v>459</v>
      </c>
      <c r="C4654" s="337">
        <v>38474</v>
      </c>
      <c r="D4654" s="338" t="s">
        <v>1169</v>
      </c>
      <c r="E4654" s="336" t="s">
        <v>1168</v>
      </c>
      <c r="F4654" s="338"/>
      <c r="G4654" s="338">
        <v>28</v>
      </c>
      <c r="H4654" s="338" t="s">
        <v>425</v>
      </c>
      <c r="I4654" s="338" t="s">
        <v>411</v>
      </c>
      <c r="J4654" s="339"/>
      <c r="K4654" s="339"/>
      <c r="L4654" s="339" t="s">
        <v>409</v>
      </c>
      <c r="M4654" s="339" t="s">
        <v>409</v>
      </c>
      <c r="N4654" s="338" t="s">
        <v>417</v>
      </c>
      <c r="O4654" s="338" t="s">
        <v>409</v>
      </c>
      <c r="P4654" s="338" t="s">
        <v>443</v>
      </c>
    </row>
    <row r="4655" spans="2:16" x14ac:dyDescent="0.25">
      <c r="B4655" s="336" t="s">
        <v>416</v>
      </c>
      <c r="C4655" s="337">
        <v>38474</v>
      </c>
      <c r="D4655" s="338" t="s">
        <v>624</v>
      </c>
      <c r="E4655" s="336" t="s">
        <v>1167</v>
      </c>
      <c r="F4655" s="338"/>
      <c r="G4655" s="338">
        <v>5044.34</v>
      </c>
      <c r="H4655" s="338" t="s">
        <v>425</v>
      </c>
      <c r="I4655" s="338" t="s">
        <v>411</v>
      </c>
      <c r="J4655" s="339"/>
      <c r="K4655" s="339"/>
      <c r="L4655" s="339" t="s">
        <v>409</v>
      </c>
      <c r="M4655" s="339" t="s">
        <v>409</v>
      </c>
      <c r="N4655" s="338" t="s">
        <v>417</v>
      </c>
      <c r="O4655" s="338" t="s">
        <v>409</v>
      </c>
      <c r="P4655" s="338"/>
    </row>
    <row r="4656" spans="2:16" x14ac:dyDescent="0.25">
      <c r="B4656" s="336" t="s">
        <v>416</v>
      </c>
      <c r="C4656" s="337">
        <v>38473</v>
      </c>
      <c r="D4656" s="338" t="s">
        <v>1166</v>
      </c>
      <c r="E4656" s="336" t="s">
        <v>1165</v>
      </c>
      <c r="F4656" s="338"/>
      <c r="G4656" s="338" t="s">
        <v>413</v>
      </c>
      <c r="H4656" s="338" t="s">
        <v>412</v>
      </c>
      <c r="I4656" s="338" t="s">
        <v>411</v>
      </c>
      <c r="J4656" s="339">
        <v>0.46202199999999999</v>
      </c>
      <c r="K4656" s="339">
        <v>8.9121199999999998</v>
      </c>
      <c r="L4656" s="339" t="s">
        <v>409</v>
      </c>
      <c r="M4656" s="339" t="s">
        <v>409</v>
      </c>
      <c r="N4656" s="338" t="s">
        <v>410</v>
      </c>
      <c r="O4656" s="338" t="s">
        <v>409</v>
      </c>
      <c r="P4656" s="338" t="s">
        <v>443</v>
      </c>
    </row>
    <row r="4657" spans="2:16" x14ac:dyDescent="0.25">
      <c r="B4657" s="336" t="s">
        <v>416</v>
      </c>
      <c r="C4657" s="337">
        <v>38471</v>
      </c>
      <c r="D4657" s="338" t="s">
        <v>1164</v>
      </c>
      <c r="E4657" s="336" t="s">
        <v>1163</v>
      </c>
      <c r="F4657" s="338" t="s">
        <v>1162</v>
      </c>
      <c r="G4657" s="338">
        <v>623</v>
      </c>
      <c r="H4657" s="338" t="s">
        <v>425</v>
      </c>
      <c r="I4657" s="338" t="s">
        <v>411</v>
      </c>
      <c r="J4657" s="339"/>
      <c r="K4657" s="339"/>
      <c r="L4657" s="339">
        <v>0.86355599999999999</v>
      </c>
      <c r="M4657" s="339">
        <v>11.223699999999999</v>
      </c>
      <c r="N4657" s="338"/>
      <c r="O4657" s="338" t="s">
        <v>417</v>
      </c>
      <c r="P4657" s="338" t="s">
        <v>417</v>
      </c>
    </row>
    <row r="4658" spans="2:16" x14ac:dyDescent="0.25">
      <c r="B4658" s="336" t="s">
        <v>416</v>
      </c>
      <c r="C4658" s="337">
        <v>38471</v>
      </c>
      <c r="D4658" s="338" t="s">
        <v>1161</v>
      </c>
      <c r="E4658" s="336" t="s">
        <v>704</v>
      </c>
      <c r="F4658" s="338"/>
      <c r="G4658" s="338" t="s">
        <v>413</v>
      </c>
      <c r="H4658" s="338" t="s">
        <v>412</v>
      </c>
      <c r="I4658" s="338" t="s">
        <v>411</v>
      </c>
      <c r="J4658" s="339"/>
      <c r="K4658" s="339"/>
      <c r="L4658" s="339" t="s">
        <v>409</v>
      </c>
      <c r="M4658" s="339" t="s">
        <v>409</v>
      </c>
      <c r="N4658" s="338" t="s">
        <v>443</v>
      </c>
      <c r="O4658" s="338" t="s">
        <v>409</v>
      </c>
      <c r="P4658" s="338" t="s">
        <v>482</v>
      </c>
    </row>
    <row r="4659" spans="2:16" x14ac:dyDescent="0.25">
      <c r="B4659" s="336" t="s">
        <v>416</v>
      </c>
      <c r="C4659" s="337">
        <v>38471</v>
      </c>
      <c r="D4659" s="338" t="s">
        <v>1160</v>
      </c>
      <c r="E4659" s="336" t="s">
        <v>1159</v>
      </c>
      <c r="F4659" s="338"/>
      <c r="G4659" s="338">
        <v>200.28</v>
      </c>
      <c r="H4659" s="338" t="s">
        <v>425</v>
      </c>
      <c r="I4659" s="338" t="s">
        <v>411</v>
      </c>
      <c r="J4659" s="339">
        <v>0.53016099999999999</v>
      </c>
      <c r="K4659" s="339">
        <v>7.3138500000000004</v>
      </c>
      <c r="L4659" s="339" t="s">
        <v>409</v>
      </c>
      <c r="M4659" s="339" t="s">
        <v>409</v>
      </c>
      <c r="N4659" s="338" t="s">
        <v>417</v>
      </c>
      <c r="O4659" s="338" t="s">
        <v>409</v>
      </c>
      <c r="P4659" s="338" t="s">
        <v>443</v>
      </c>
    </row>
    <row r="4660" spans="2:16" x14ac:dyDescent="0.25">
      <c r="B4660" s="336" t="s">
        <v>416</v>
      </c>
      <c r="C4660" s="337">
        <v>38470</v>
      </c>
      <c r="D4660" s="338" t="s">
        <v>1158</v>
      </c>
      <c r="E4660" s="336" t="s">
        <v>978</v>
      </c>
      <c r="F4660" s="338"/>
      <c r="G4660" s="338">
        <v>125.2</v>
      </c>
      <c r="H4660" s="338" t="s">
        <v>425</v>
      </c>
      <c r="I4660" s="338" t="s">
        <v>411</v>
      </c>
      <c r="J4660" s="339"/>
      <c r="K4660" s="339"/>
      <c r="L4660" s="339" t="s">
        <v>409</v>
      </c>
      <c r="M4660" s="339" t="s">
        <v>409</v>
      </c>
      <c r="N4660" s="338" t="s">
        <v>417</v>
      </c>
      <c r="O4660" s="338" t="s">
        <v>409</v>
      </c>
      <c r="P4660" s="338" t="s">
        <v>417</v>
      </c>
    </row>
    <row r="4661" spans="2:16" x14ac:dyDescent="0.25">
      <c r="B4661" s="336" t="s">
        <v>416</v>
      </c>
      <c r="C4661" s="337">
        <v>38470</v>
      </c>
      <c r="D4661" s="338" t="s">
        <v>1157</v>
      </c>
      <c r="E4661" s="336" t="s">
        <v>1156</v>
      </c>
      <c r="F4661" s="338" t="s">
        <v>1155</v>
      </c>
      <c r="G4661" s="338" t="s">
        <v>413</v>
      </c>
      <c r="H4661" s="338" t="s">
        <v>412</v>
      </c>
      <c r="I4661" s="338" t="s">
        <v>411</v>
      </c>
      <c r="J4661" s="339"/>
      <c r="K4661" s="339"/>
      <c r="L4661" s="339">
        <v>0.37458799999999998</v>
      </c>
      <c r="M4661" s="339">
        <v>5.7246800000000002</v>
      </c>
      <c r="N4661" s="338"/>
      <c r="O4661" s="338" t="s">
        <v>410</v>
      </c>
      <c r="P4661" s="338" t="s">
        <v>543</v>
      </c>
    </row>
    <row r="4662" spans="2:16" x14ac:dyDescent="0.25">
      <c r="B4662" s="336" t="s">
        <v>416</v>
      </c>
      <c r="C4662" s="337">
        <v>38469</v>
      </c>
      <c r="D4662" s="338" t="s">
        <v>1154</v>
      </c>
      <c r="E4662" s="336" t="s">
        <v>1153</v>
      </c>
      <c r="F4662" s="338" t="s">
        <v>1152</v>
      </c>
      <c r="G4662" s="338" t="s">
        <v>413</v>
      </c>
      <c r="H4662" s="338" t="s">
        <v>412</v>
      </c>
      <c r="I4662" s="338" t="s">
        <v>411</v>
      </c>
      <c r="J4662" s="339"/>
      <c r="K4662" s="339"/>
      <c r="L4662" s="339"/>
      <c r="M4662" s="339"/>
      <c r="N4662" s="338" t="s">
        <v>417</v>
      </c>
      <c r="O4662" s="338" t="s">
        <v>443</v>
      </c>
      <c r="P4662" s="338" t="s">
        <v>443</v>
      </c>
    </row>
    <row r="4663" spans="2:16" x14ac:dyDescent="0.25">
      <c r="B4663" s="336" t="s">
        <v>416</v>
      </c>
      <c r="C4663" s="337">
        <v>38469</v>
      </c>
      <c r="D4663" s="338" t="s">
        <v>1151</v>
      </c>
      <c r="E4663" s="336" t="s">
        <v>1150</v>
      </c>
      <c r="F4663" s="338" t="s">
        <v>1149</v>
      </c>
      <c r="G4663" s="338" t="s">
        <v>413</v>
      </c>
      <c r="H4663" s="338" t="s">
        <v>412</v>
      </c>
      <c r="I4663" s="338" t="s">
        <v>411</v>
      </c>
      <c r="J4663" s="339"/>
      <c r="K4663" s="339"/>
      <c r="L4663" s="339"/>
      <c r="M4663" s="339"/>
      <c r="N4663" s="338"/>
      <c r="O4663" s="338" t="s">
        <v>417</v>
      </c>
      <c r="P4663" s="338" t="s">
        <v>417</v>
      </c>
    </row>
    <row r="4664" spans="2:16" x14ac:dyDescent="0.25">
      <c r="B4664" s="336" t="s">
        <v>416</v>
      </c>
      <c r="C4664" s="337">
        <v>38469</v>
      </c>
      <c r="D4664" s="338" t="s">
        <v>1148</v>
      </c>
      <c r="E4664" s="336" t="s">
        <v>1147</v>
      </c>
      <c r="F4664" s="338" t="s">
        <v>1146</v>
      </c>
      <c r="G4664" s="338">
        <v>176.3</v>
      </c>
      <c r="H4664" s="338" t="s">
        <v>425</v>
      </c>
      <c r="I4664" s="338" t="s">
        <v>411</v>
      </c>
      <c r="J4664" s="339"/>
      <c r="K4664" s="339"/>
      <c r="L4664" s="339">
        <v>0.32055600000000001</v>
      </c>
      <c r="M4664" s="339">
        <v>13.7141</v>
      </c>
      <c r="N4664" s="338"/>
      <c r="O4664" s="338" t="s">
        <v>417</v>
      </c>
      <c r="P4664" s="338" t="s">
        <v>410</v>
      </c>
    </row>
    <row r="4665" spans="2:16" x14ac:dyDescent="0.25">
      <c r="B4665" s="336" t="s">
        <v>416</v>
      </c>
      <c r="C4665" s="337">
        <v>38468</v>
      </c>
      <c r="D4665" s="338" t="s">
        <v>1145</v>
      </c>
      <c r="E4665" s="336" t="s">
        <v>1144</v>
      </c>
      <c r="F4665" s="338" t="s">
        <v>1143</v>
      </c>
      <c r="G4665" s="338">
        <v>3.75</v>
      </c>
      <c r="H4665" s="338" t="s">
        <v>425</v>
      </c>
      <c r="I4665" s="338" t="s">
        <v>411</v>
      </c>
      <c r="J4665" s="339"/>
      <c r="K4665" s="339"/>
      <c r="L4665" s="339">
        <v>2.4007499999999999</v>
      </c>
      <c r="M4665" s="339">
        <v>11.4392</v>
      </c>
      <c r="N4665" s="338" t="s">
        <v>432</v>
      </c>
      <c r="O4665" s="338" t="s">
        <v>417</v>
      </c>
      <c r="P4665" s="338" t="s">
        <v>432</v>
      </c>
    </row>
    <row r="4666" spans="2:16" x14ac:dyDescent="0.25">
      <c r="B4666" s="336" t="s">
        <v>416</v>
      </c>
      <c r="C4666" s="337">
        <v>38468</v>
      </c>
      <c r="D4666" s="338" t="s">
        <v>1142</v>
      </c>
      <c r="E4666" s="336" t="s">
        <v>1141</v>
      </c>
      <c r="F4666" s="338" t="s">
        <v>1140</v>
      </c>
      <c r="G4666" s="338">
        <v>6.5</v>
      </c>
      <c r="H4666" s="338" t="s">
        <v>425</v>
      </c>
      <c r="I4666" s="338" t="s">
        <v>411</v>
      </c>
      <c r="J4666" s="339"/>
      <c r="K4666" s="339"/>
      <c r="L4666" s="339">
        <v>1.38144</v>
      </c>
      <c r="M4666" s="339">
        <v>8.0563300000000009</v>
      </c>
      <c r="N4666" s="338"/>
      <c r="O4666" s="338" t="s">
        <v>417</v>
      </c>
      <c r="P4666" s="338" t="s">
        <v>417</v>
      </c>
    </row>
    <row r="4667" spans="2:16" x14ac:dyDescent="0.25">
      <c r="B4667" s="336" t="s">
        <v>416</v>
      </c>
      <c r="C4667" s="337">
        <v>38467</v>
      </c>
      <c r="D4667" s="338" t="s">
        <v>1139</v>
      </c>
      <c r="E4667" s="336" t="s">
        <v>1138</v>
      </c>
      <c r="F4667" s="338"/>
      <c r="G4667" s="338">
        <v>6</v>
      </c>
      <c r="H4667" s="338" t="s">
        <v>425</v>
      </c>
      <c r="I4667" s="338" t="s">
        <v>411</v>
      </c>
      <c r="J4667" s="339"/>
      <c r="K4667" s="339"/>
      <c r="L4667" s="339" t="s">
        <v>409</v>
      </c>
      <c r="M4667" s="339" t="s">
        <v>409</v>
      </c>
      <c r="N4667" s="338" t="s">
        <v>417</v>
      </c>
      <c r="O4667" s="338" t="s">
        <v>409</v>
      </c>
      <c r="P4667" s="338" t="s">
        <v>417</v>
      </c>
    </row>
    <row r="4668" spans="2:16" x14ac:dyDescent="0.25">
      <c r="B4668" s="336" t="s">
        <v>416</v>
      </c>
      <c r="C4668" s="337">
        <v>38467</v>
      </c>
      <c r="D4668" s="338" t="s">
        <v>945</v>
      </c>
      <c r="E4668" s="336" t="s">
        <v>1137</v>
      </c>
      <c r="F4668" s="338" t="s">
        <v>1136</v>
      </c>
      <c r="G4668" s="338" t="s">
        <v>413</v>
      </c>
      <c r="H4668" s="338" t="s">
        <v>412</v>
      </c>
      <c r="I4668" s="338" t="s">
        <v>411</v>
      </c>
      <c r="J4668" s="339"/>
      <c r="K4668" s="339"/>
      <c r="L4668" s="339"/>
      <c r="M4668" s="339"/>
      <c r="N4668" s="338"/>
      <c r="O4668" s="338" t="s">
        <v>417</v>
      </c>
      <c r="P4668" s="338" t="s">
        <v>417</v>
      </c>
    </row>
    <row r="4669" spans="2:16" x14ac:dyDescent="0.25">
      <c r="B4669" s="336" t="s">
        <v>416</v>
      </c>
      <c r="C4669" s="337">
        <v>38467</v>
      </c>
      <c r="D4669" s="338" t="s">
        <v>1135</v>
      </c>
      <c r="E4669" s="336" t="s">
        <v>566</v>
      </c>
      <c r="F4669" s="338"/>
      <c r="G4669" s="338" t="s">
        <v>413</v>
      </c>
      <c r="H4669" s="338" t="s">
        <v>412</v>
      </c>
      <c r="I4669" s="338" t="s">
        <v>411</v>
      </c>
      <c r="J4669" s="339"/>
      <c r="K4669" s="339"/>
      <c r="L4669" s="339" t="s">
        <v>409</v>
      </c>
      <c r="M4669" s="339" t="s">
        <v>409</v>
      </c>
      <c r="N4669" s="338" t="s">
        <v>432</v>
      </c>
      <c r="O4669" s="338" t="s">
        <v>409</v>
      </c>
      <c r="P4669" s="338" t="s">
        <v>410</v>
      </c>
    </row>
    <row r="4670" spans="2:16" x14ac:dyDescent="0.25">
      <c r="B4670" s="336" t="s">
        <v>416</v>
      </c>
      <c r="C4670" s="337">
        <v>38464</v>
      </c>
      <c r="D4670" s="338" t="s">
        <v>1134</v>
      </c>
      <c r="E4670" s="336" t="s">
        <v>598</v>
      </c>
      <c r="F4670" s="338"/>
      <c r="G4670" s="338" t="s">
        <v>413</v>
      </c>
      <c r="H4670" s="338" t="s">
        <v>412</v>
      </c>
      <c r="I4670" s="338" t="s">
        <v>411</v>
      </c>
      <c r="J4670" s="339"/>
      <c r="K4670" s="339"/>
      <c r="L4670" s="339" t="s">
        <v>409</v>
      </c>
      <c r="M4670" s="339" t="s">
        <v>409</v>
      </c>
      <c r="N4670" s="338"/>
      <c r="O4670" s="338" t="s">
        <v>409</v>
      </c>
      <c r="P4670" s="338" t="s">
        <v>417</v>
      </c>
    </row>
    <row r="4671" spans="2:16" x14ac:dyDescent="0.25">
      <c r="B4671" s="336" t="s">
        <v>416</v>
      </c>
      <c r="C4671" s="337">
        <v>38462</v>
      </c>
      <c r="D4671" s="338" t="s">
        <v>1133</v>
      </c>
      <c r="E4671" s="336" t="s">
        <v>1132</v>
      </c>
      <c r="F4671" s="338"/>
      <c r="G4671" s="338" t="s">
        <v>413</v>
      </c>
      <c r="H4671" s="338" t="s">
        <v>412</v>
      </c>
      <c r="I4671" s="338" t="s">
        <v>411</v>
      </c>
      <c r="J4671" s="339"/>
      <c r="K4671" s="339"/>
      <c r="L4671" s="339" t="s">
        <v>409</v>
      </c>
      <c r="M4671" s="339" t="s">
        <v>409</v>
      </c>
      <c r="N4671" s="338"/>
      <c r="O4671" s="338" t="s">
        <v>409</v>
      </c>
      <c r="P4671" s="338" t="s">
        <v>410</v>
      </c>
    </row>
    <row r="4672" spans="2:16" x14ac:dyDescent="0.25">
      <c r="B4672" s="336" t="s">
        <v>416</v>
      </c>
      <c r="C4672" s="337">
        <v>38462</v>
      </c>
      <c r="D4672" s="338" t="s">
        <v>1131</v>
      </c>
      <c r="E4672" s="336" t="s">
        <v>859</v>
      </c>
      <c r="F4672" s="338" t="s">
        <v>858</v>
      </c>
      <c r="G4672" s="338">
        <v>43.8</v>
      </c>
      <c r="H4672" s="338" t="s">
        <v>425</v>
      </c>
      <c r="I4672" s="338" t="s">
        <v>411</v>
      </c>
      <c r="J4672" s="339"/>
      <c r="K4672" s="339"/>
      <c r="L4672" s="339">
        <v>0.17557</v>
      </c>
      <c r="M4672" s="339"/>
      <c r="N4672" s="338"/>
      <c r="O4672" s="338" t="s">
        <v>417</v>
      </c>
      <c r="P4672" s="338" t="s">
        <v>543</v>
      </c>
    </row>
    <row r="4673" spans="2:16" x14ac:dyDescent="0.25">
      <c r="B4673" s="336" t="s">
        <v>416</v>
      </c>
      <c r="C4673" s="337">
        <v>38462</v>
      </c>
      <c r="D4673" s="338" t="s">
        <v>1130</v>
      </c>
      <c r="E4673" s="336" t="s">
        <v>1129</v>
      </c>
      <c r="F4673" s="338"/>
      <c r="G4673" s="338" t="s">
        <v>413</v>
      </c>
      <c r="H4673" s="338" t="s">
        <v>412</v>
      </c>
      <c r="I4673" s="338" t="s">
        <v>411</v>
      </c>
      <c r="J4673" s="339"/>
      <c r="K4673" s="339"/>
      <c r="L4673" s="339" t="s">
        <v>409</v>
      </c>
      <c r="M4673" s="339" t="s">
        <v>409</v>
      </c>
      <c r="N4673" s="338" t="s">
        <v>408</v>
      </c>
      <c r="O4673" s="338" t="s">
        <v>409</v>
      </c>
      <c r="P4673" s="338" t="s">
        <v>417</v>
      </c>
    </row>
    <row r="4674" spans="2:16" x14ac:dyDescent="0.25">
      <c r="B4674" s="336" t="s">
        <v>416</v>
      </c>
      <c r="C4674" s="337">
        <v>38462</v>
      </c>
      <c r="D4674" s="338" t="s">
        <v>1128</v>
      </c>
      <c r="E4674" s="336" t="s">
        <v>1127</v>
      </c>
      <c r="F4674" s="338" t="s">
        <v>797</v>
      </c>
      <c r="G4674" s="338">
        <v>2.6</v>
      </c>
      <c r="H4674" s="338" t="s">
        <v>429</v>
      </c>
      <c r="I4674" s="338" t="s">
        <v>411</v>
      </c>
      <c r="J4674" s="339"/>
      <c r="K4674" s="339"/>
      <c r="L4674" s="339">
        <v>36.686900000000001</v>
      </c>
      <c r="M4674" s="339"/>
      <c r="N4674" s="338"/>
      <c r="O4674" s="338" t="s">
        <v>417</v>
      </c>
      <c r="P4674" s="338" t="s">
        <v>487</v>
      </c>
    </row>
    <row r="4675" spans="2:16" x14ac:dyDescent="0.25">
      <c r="B4675" s="336" t="s">
        <v>416</v>
      </c>
      <c r="C4675" s="337">
        <v>38462</v>
      </c>
      <c r="D4675" s="338" t="s">
        <v>1126</v>
      </c>
      <c r="E4675" s="336" t="s">
        <v>614</v>
      </c>
      <c r="F4675" s="338"/>
      <c r="G4675" s="338" t="s">
        <v>413</v>
      </c>
      <c r="H4675" s="338" t="s">
        <v>412</v>
      </c>
      <c r="I4675" s="338" t="s">
        <v>411</v>
      </c>
      <c r="J4675" s="339"/>
      <c r="K4675" s="339"/>
      <c r="L4675" s="339" t="s">
        <v>409</v>
      </c>
      <c r="M4675" s="339" t="s">
        <v>409</v>
      </c>
      <c r="N4675" s="338" t="s">
        <v>417</v>
      </c>
      <c r="O4675" s="338" t="s">
        <v>409</v>
      </c>
      <c r="P4675" s="338" t="s">
        <v>417</v>
      </c>
    </row>
    <row r="4676" spans="2:16" x14ac:dyDescent="0.25">
      <c r="B4676" s="336" t="s">
        <v>416</v>
      </c>
      <c r="C4676" s="337">
        <v>38461</v>
      </c>
      <c r="D4676" s="338" t="s">
        <v>1125</v>
      </c>
      <c r="E4676" s="336" t="s">
        <v>1124</v>
      </c>
      <c r="F4676" s="338" t="s">
        <v>1123</v>
      </c>
      <c r="G4676" s="338">
        <v>137.5</v>
      </c>
      <c r="H4676" s="338" t="s">
        <v>425</v>
      </c>
      <c r="I4676" s="338" t="s">
        <v>411</v>
      </c>
      <c r="J4676" s="339"/>
      <c r="K4676" s="339"/>
      <c r="L4676" s="339"/>
      <c r="M4676" s="339"/>
      <c r="N4676" s="338"/>
      <c r="O4676" s="338" t="s">
        <v>417</v>
      </c>
      <c r="P4676" s="338" t="s">
        <v>443</v>
      </c>
    </row>
    <row r="4677" spans="2:16" x14ac:dyDescent="0.25">
      <c r="B4677" s="336" t="s">
        <v>416</v>
      </c>
      <c r="C4677" s="337">
        <v>38461</v>
      </c>
      <c r="D4677" s="338" t="s">
        <v>1122</v>
      </c>
      <c r="E4677" s="336" t="s">
        <v>1121</v>
      </c>
      <c r="F4677" s="338"/>
      <c r="G4677" s="338" t="s">
        <v>413</v>
      </c>
      <c r="H4677" s="338" t="s">
        <v>336</v>
      </c>
      <c r="I4677" s="338" t="s">
        <v>411</v>
      </c>
      <c r="J4677" s="339">
        <v>0.48255900000000002</v>
      </c>
      <c r="K4677" s="339">
        <v>6.7934200000000002</v>
      </c>
      <c r="L4677" s="339" t="s">
        <v>409</v>
      </c>
      <c r="M4677" s="339" t="s">
        <v>409</v>
      </c>
      <c r="N4677" s="338" t="s">
        <v>417</v>
      </c>
      <c r="O4677" s="338" t="s">
        <v>409</v>
      </c>
      <c r="P4677" s="338" t="s">
        <v>417</v>
      </c>
    </row>
    <row r="4678" spans="2:16" x14ac:dyDescent="0.25">
      <c r="B4678" s="336" t="s">
        <v>416</v>
      </c>
      <c r="C4678" s="337">
        <v>38461</v>
      </c>
      <c r="D4678" s="338" t="s">
        <v>1120</v>
      </c>
      <c r="E4678" s="336" t="s">
        <v>1119</v>
      </c>
      <c r="F4678" s="338"/>
      <c r="G4678" s="338">
        <v>66</v>
      </c>
      <c r="H4678" s="338" t="s">
        <v>425</v>
      </c>
      <c r="I4678" s="338" t="s">
        <v>411</v>
      </c>
      <c r="J4678" s="339"/>
      <c r="K4678" s="339"/>
      <c r="L4678" s="339" t="s">
        <v>409</v>
      </c>
      <c r="M4678" s="339" t="s">
        <v>409</v>
      </c>
      <c r="N4678" s="338" t="s">
        <v>417</v>
      </c>
      <c r="O4678" s="338" t="s">
        <v>409</v>
      </c>
      <c r="P4678" s="338" t="s">
        <v>417</v>
      </c>
    </row>
    <row r="4679" spans="2:16" x14ac:dyDescent="0.25">
      <c r="B4679" s="336" t="s">
        <v>416</v>
      </c>
      <c r="C4679" s="337">
        <v>38461</v>
      </c>
      <c r="D4679" s="338" t="s">
        <v>1118</v>
      </c>
      <c r="E4679" s="336" t="s">
        <v>1117</v>
      </c>
      <c r="F4679" s="338"/>
      <c r="G4679" s="338">
        <v>3.1</v>
      </c>
      <c r="H4679" s="338" t="s">
        <v>412</v>
      </c>
      <c r="I4679" s="338" t="s">
        <v>411</v>
      </c>
      <c r="J4679" s="339"/>
      <c r="K4679" s="339"/>
      <c r="L4679" s="339" t="s">
        <v>409</v>
      </c>
      <c r="M4679" s="339" t="s">
        <v>409</v>
      </c>
      <c r="N4679" s="338"/>
      <c r="O4679" s="338" t="s">
        <v>409</v>
      </c>
      <c r="P4679" s="338" t="s">
        <v>408</v>
      </c>
    </row>
    <row r="4680" spans="2:16" x14ac:dyDescent="0.25">
      <c r="B4680" s="336" t="s">
        <v>416</v>
      </c>
      <c r="C4680" s="337">
        <v>38460</v>
      </c>
      <c r="D4680" s="338" t="s">
        <v>908</v>
      </c>
      <c r="E4680" s="336" t="s">
        <v>1116</v>
      </c>
      <c r="F4680" s="338" t="s">
        <v>1115</v>
      </c>
      <c r="G4680" s="338" t="s">
        <v>413</v>
      </c>
      <c r="H4680" s="338" t="s">
        <v>412</v>
      </c>
      <c r="I4680" s="338" t="s">
        <v>411</v>
      </c>
      <c r="J4680" s="339"/>
      <c r="K4680" s="339"/>
      <c r="L4680" s="339"/>
      <c r="M4680" s="339"/>
      <c r="N4680" s="338" t="s">
        <v>417</v>
      </c>
      <c r="O4680" s="338" t="s">
        <v>443</v>
      </c>
      <c r="P4680" s="338" t="s">
        <v>443</v>
      </c>
    </row>
    <row r="4681" spans="2:16" x14ac:dyDescent="0.25">
      <c r="B4681" s="336" t="s">
        <v>416</v>
      </c>
      <c r="C4681" s="337">
        <v>38460</v>
      </c>
      <c r="D4681" s="338" t="s">
        <v>1114</v>
      </c>
      <c r="E4681" s="336" t="s">
        <v>540</v>
      </c>
      <c r="F4681" s="338"/>
      <c r="G4681" s="338">
        <v>1219.0899999999999</v>
      </c>
      <c r="H4681" s="338" t="s">
        <v>429</v>
      </c>
      <c r="I4681" s="338" t="s">
        <v>411</v>
      </c>
      <c r="J4681" s="339">
        <v>0.69914500000000002</v>
      </c>
      <c r="K4681" s="339">
        <v>13.1568</v>
      </c>
      <c r="L4681" s="339" t="s">
        <v>409</v>
      </c>
      <c r="M4681" s="339" t="s">
        <v>409</v>
      </c>
      <c r="N4681" s="338" t="s">
        <v>417</v>
      </c>
      <c r="O4681" s="338" t="s">
        <v>409</v>
      </c>
      <c r="P4681" s="338" t="s">
        <v>417</v>
      </c>
    </row>
    <row r="4682" spans="2:16" x14ac:dyDescent="0.25">
      <c r="B4682" s="336" t="s">
        <v>416</v>
      </c>
      <c r="C4682" s="337">
        <v>38460</v>
      </c>
      <c r="D4682" s="338" t="s">
        <v>1113</v>
      </c>
      <c r="E4682" s="336" t="s">
        <v>1112</v>
      </c>
      <c r="F4682" s="338" t="s">
        <v>1111</v>
      </c>
      <c r="G4682" s="338" t="s">
        <v>413</v>
      </c>
      <c r="H4682" s="338" t="s">
        <v>412</v>
      </c>
      <c r="I4682" s="338" t="s">
        <v>411</v>
      </c>
      <c r="J4682" s="339"/>
      <c r="K4682" s="339"/>
      <c r="L4682" s="339"/>
      <c r="M4682" s="339"/>
      <c r="N4682" s="338"/>
      <c r="O4682" s="338" t="s">
        <v>417</v>
      </c>
      <c r="P4682" s="338" t="s">
        <v>605</v>
      </c>
    </row>
    <row r="4683" spans="2:16" x14ac:dyDescent="0.25">
      <c r="B4683" s="336" t="s">
        <v>416</v>
      </c>
      <c r="C4683" s="337">
        <v>38457</v>
      </c>
      <c r="D4683" s="338" t="s">
        <v>1110</v>
      </c>
      <c r="E4683" s="336" t="s">
        <v>1109</v>
      </c>
      <c r="F4683" s="338"/>
      <c r="G4683" s="338">
        <v>421.85</v>
      </c>
      <c r="H4683" s="338" t="s">
        <v>425</v>
      </c>
      <c r="I4683" s="338" t="s">
        <v>411</v>
      </c>
      <c r="J4683" s="339"/>
      <c r="K4683" s="339"/>
      <c r="L4683" s="339" t="s">
        <v>409</v>
      </c>
      <c r="M4683" s="339" t="s">
        <v>409</v>
      </c>
      <c r="N4683" s="338" t="s">
        <v>417</v>
      </c>
      <c r="O4683" s="338" t="s">
        <v>409</v>
      </c>
      <c r="P4683" s="338"/>
    </row>
    <row r="4684" spans="2:16" x14ac:dyDescent="0.25">
      <c r="B4684" s="336" t="s">
        <v>459</v>
      </c>
      <c r="C4684" s="337">
        <v>38456</v>
      </c>
      <c r="D4684" s="338" t="s">
        <v>1108</v>
      </c>
      <c r="E4684" s="336" t="s">
        <v>1107</v>
      </c>
      <c r="F4684" s="338"/>
      <c r="G4684" s="338">
        <v>30</v>
      </c>
      <c r="H4684" s="338" t="s">
        <v>412</v>
      </c>
      <c r="I4684" s="338" t="s">
        <v>411</v>
      </c>
      <c r="J4684" s="339"/>
      <c r="K4684" s="339"/>
      <c r="L4684" s="339" t="s">
        <v>409</v>
      </c>
      <c r="M4684" s="339" t="s">
        <v>409</v>
      </c>
      <c r="N4684" s="338" t="s">
        <v>417</v>
      </c>
      <c r="O4684" s="338" t="s">
        <v>409</v>
      </c>
      <c r="P4684" s="338" t="s">
        <v>417</v>
      </c>
    </row>
    <row r="4685" spans="2:16" x14ac:dyDescent="0.25">
      <c r="B4685" s="336" t="s">
        <v>416</v>
      </c>
      <c r="C4685" s="337">
        <v>38456</v>
      </c>
      <c r="D4685" s="338" t="s">
        <v>1106</v>
      </c>
      <c r="E4685" s="336" t="s">
        <v>1105</v>
      </c>
      <c r="F4685" s="338"/>
      <c r="G4685" s="338">
        <v>1.2</v>
      </c>
      <c r="H4685" s="338" t="s">
        <v>429</v>
      </c>
      <c r="I4685" s="338" t="s">
        <v>411</v>
      </c>
      <c r="J4685" s="339"/>
      <c r="K4685" s="339"/>
      <c r="L4685" s="339" t="s">
        <v>409</v>
      </c>
      <c r="M4685" s="339" t="s">
        <v>409</v>
      </c>
      <c r="N4685" s="338" t="s">
        <v>417</v>
      </c>
      <c r="O4685" s="338" t="s">
        <v>409</v>
      </c>
      <c r="P4685" s="338" t="s">
        <v>482</v>
      </c>
    </row>
    <row r="4686" spans="2:16" x14ac:dyDescent="0.25">
      <c r="B4686" s="336" t="s">
        <v>416</v>
      </c>
      <c r="C4686" s="337">
        <v>38456</v>
      </c>
      <c r="D4686" s="338" t="s">
        <v>1104</v>
      </c>
      <c r="E4686" s="336" t="s">
        <v>419</v>
      </c>
      <c r="F4686" s="338" t="s">
        <v>1103</v>
      </c>
      <c r="G4686" s="338">
        <v>3.8</v>
      </c>
      <c r="H4686" s="338" t="s">
        <v>412</v>
      </c>
      <c r="I4686" s="338" t="s">
        <v>411</v>
      </c>
      <c r="J4686" s="339"/>
      <c r="K4686" s="339"/>
      <c r="L4686" s="339"/>
      <c r="M4686" s="339"/>
      <c r="N4686" s="338" t="s">
        <v>410</v>
      </c>
      <c r="O4686" s="338" t="s">
        <v>543</v>
      </c>
      <c r="P4686" s="338" t="s">
        <v>417</v>
      </c>
    </row>
    <row r="4687" spans="2:16" x14ac:dyDescent="0.25">
      <c r="B4687" s="336" t="s">
        <v>416</v>
      </c>
      <c r="C4687" s="337">
        <v>38456</v>
      </c>
      <c r="D4687" s="338" t="s">
        <v>1102</v>
      </c>
      <c r="E4687" s="336" t="s">
        <v>1101</v>
      </c>
      <c r="F4687" s="338"/>
      <c r="G4687" s="338" t="s">
        <v>413</v>
      </c>
      <c r="H4687" s="338" t="s">
        <v>336</v>
      </c>
      <c r="I4687" s="338" t="s">
        <v>411</v>
      </c>
      <c r="J4687" s="339"/>
      <c r="K4687" s="339"/>
      <c r="L4687" s="339" t="s">
        <v>409</v>
      </c>
      <c r="M4687" s="339" t="s">
        <v>409</v>
      </c>
      <c r="N4687" s="338" t="s">
        <v>417</v>
      </c>
      <c r="O4687" s="338" t="s">
        <v>409</v>
      </c>
      <c r="P4687" s="338" t="s">
        <v>417</v>
      </c>
    </row>
    <row r="4688" spans="2:16" x14ac:dyDescent="0.25">
      <c r="B4688" s="336" t="s">
        <v>416</v>
      </c>
      <c r="C4688" s="337">
        <v>38455</v>
      </c>
      <c r="D4688" s="338" t="s">
        <v>1100</v>
      </c>
      <c r="E4688" s="336" t="s">
        <v>716</v>
      </c>
      <c r="F4688" s="338"/>
      <c r="G4688" s="338" t="s">
        <v>413</v>
      </c>
      <c r="H4688" s="338" t="s">
        <v>412</v>
      </c>
      <c r="I4688" s="338" t="s">
        <v>411</v>
      </c>
      <c r="J4688" s="339"/>
      <c r="K4688" s="339"/>
      <c r="L4688" s="339" t="s">
        <v>409</v>
      </c>
      <c r="M4688" s="339" t="s">
        <v>409</v>
      </c>
      <c r="N4688" s="338" t="s">
        <v>410</v>
      </c>
      <c r="O4688" s="338" t="s">
        <v>409</v>
      </c>
      <c r="P4688" s="338" t="s">
        <v>443</v>
      </c>
    </row>
    <row r="4689" spans="2:16" x14ac:dyDescent="0.25">
      <c r="B4689" s="336" t="s">
        <v>416</v>
      </c>
      <c r="C4689" s="337">
        <v>38455</v>
      </c>
      <c r="D4689" s="338" t="s">
        <v>1099</v>
      </c>
      <c r="E4689" s="336" t="s">
        <v>1098</v>
      </c>
      <c r="F4689" s="338"/>
      <c r="G4689" s="338" t="s">
        <v>413</v>
      </c>
      <c r="H4689" s="338" t="s">
        <v>425</v>
      </c>
      <c r="I4689" s="338" t="s">
        <v>411</v>
      </c>
      <c r="J4689" s="339"/>
      <c r="K4689" s="339"/>
      <c r="L4689" s="339" t="s">
        <v>409</v>
      </c>
      <c r="M4689" s="339" t="s">
        <v>409</v>
      </c>
      <c r="N4689" s="338" t="s">
        <v>410</v>
      </c>
      <c r="O4689" s="338" t="s">
        <v>409</v>
      </c>
      <c r="P4689" s="338" t="s">
        <v>443</v>
      </c>
    </row>
    <row r="4690" spans="2:16" x14ac:dyDescent="0.25">
      <c r="B4690" s="336" t="s">
        <v>416</v>
      </c>
      <c r="C4690" s="337">
        <v>38454</v>
      </c>
      <c r="D4690" s="338" t="s">
        <v>1097</v>
      </c>
      <c r="E4690" s="336" t="s">
        <v>1096</v>
      </c>
      <c r="F4690" s="338" t="s">
        <v>1095</v>
      </c>
      <c r="G4690" s="338">
        <v>29.5</v>
      </c>
      <c r="H4690" s="338" t="s">
        <v>425</v>
      </c>
      <c r="I4690" s="338" t="s">
        <v>411</v>
      </c>
      <c r="J4690" s="339"/>
      <c r="K4690" s="339"/>
      <c r="L4690" s="339"/>
      <c r="M4690" s="339"/>
      <c r="N4690" s="338"/>
      <c r="O4690" s="338" t="s">
        <v>482</v>
      </c>
      <c r="P4690" s="338" t="s">
        <v>417</v>
      </c>
    </row>
    <row r="4691" spans="2:16" x14ac:dyDescent="0.25">
      <c r="B4691" s="336" t="s">
        <v>416</v>
      </c>
      <c r="C4691" s="337">
        <v>38454</v>
      </c>
      <c r="D4691" s="338" t="s">
        <v>1094</v>
      </c>
      <c r="E4691" s="336" t="s">
        <v>1093</v>
      </c>
      <c r="F4691" s="338" t="s">
        <v>1092</v>
      </c>
      <c r="G4691" s="338">
        <v>39.5</v>
      </c>
      <c r="H4691" s="338" t="s">
        <v>425</v>
      </c>
      <c r="I4691" s="338" t="s">
        <v>411</v>
      </c>
      <c r="J4691" s="339"/>
      <c r="K4691" s="339"/>
      <c r="L4691" s="339"/>
      <c r="M4691" s="339"/>
      <c r="N4691" s="338"/>
      <c r="O4691" s="338" t="s">
        <v>612</v>
      </c>
      <c r="P4691" s="338" t="s">
        <v>417</v>
      </c>
    </row>
    <row r="4692" spans="2:16" x14ac:dyDescent="0.25">
      <c r="B4692" s="336" t="s">
        <v>416</v>
      </c>
      <c r="C4692" s="337">
        <v>38453</v>
      </c>
      <c r="D4692" s="338" t="s">
        <v>1091</v>
      </c>
      <c r="E4692" s="336" t="s">
        <v>1090</v>
      </c>
      <c r="F4692" s="338"/>
      <c r="G4692" s="338" t="s">
        <v>413</v>
      </c>
      <c r="H4692" s="338" t="s">
        <v>412</v>
      </c>
      <c r="I4692" s="338" t="s">
        <v>411</v>
      </c>
      <c r="J4692" s="339"/>
      <c r="K4692" s="339"/>
      <c r="L4692" s="339" t="s">
        <v>409</v>
      </c>
      <c r="M4692" s="339" t="s">
        <v>409</v>
      </c>
      <c r="N4692" s="338" t="s">
        <v>410</v>
      </c>
      <c r="O4692" s="338" t="s">
        <v>409</v>
      </c>
      <c r="P4692" s="338" t="s">
        <v>443</v>
      </c>
    </row>
    <row r="4693" spans="2:16" x14ac:dyDescent="0.25">
      <c r="B4693" s="336" t="s">
        <v>416</v>
      </c>
      <c r="C4693" s="337">
        <v>38453</v>
      </c>
      <c r="D4693" s="338" t="s">
        <v>1089</v>
      </c>
      <c r="E4693" s="336" t="s">
        <v>1088</v>
      </c>
      <c r="F4693" s="338"/>
      <c r="G4693" s="338">
        <v>2.57</v>
      </c>
      <c r="H4693" s="338" t="s">
        <v>336</v>
      </c>
      <c r="I4693" s="338" t="s">
        <v>411</v>
      </c>
      <c r="J4693" s="339"/>
      <c r="K4693" s="339"/>
      <c r="L4693" s="339" t="s">
        <v>409</v>
      </c>
      <c r="M4693" s="339" t="s">
        <v>409</v>
      </c>
      <c r="N4693" s="338" t="s">
        <v>432</v>
      </c>
      <c r="O4693" s="338" t="s">
        <v>409</v>
      </c>
      <c r="P4693" s="338" t="s">
        <v>417</v>
      </c>
    </row>
    <row r="4694" spans="2:16" x14ac:dyDescent="0.25">
      <c r="B4694" s="336" t="s">
        <v>416</v>
      </c>
      <c r="C4694" s="337">
        <v>38449</v>
      </c>
      <c r="D4694" s="338" t="s">
        <v>1087</v>
      </c>
      <c r="E4694" s="336" t="s">
        <v>823</v>
      </c>
      <c r="F4694" s="338"/>
      <c r="G4694" s="338" t="s">
        <v>413</v>
      </c>
      <c r="H4694" s="338" t="s">
        <v>412</v>
      </c>
      <c r="I4694" s="338" t="s">
        <v>411</v>
      </c>
      <c r="J4694" s="339"/>
      <c r="K4694" s="339"/>
      <c r="L4694" s="339" t="s">
        <v>409</v>
      </c>
      <c r="M4694" s="339" t="s">
        <v>409</v>
      </c>
      <c r="N4694" s="338" t="s">
        <v>417</v>
      </c>
      <c r="O4694" s="338" t="s">
        <v>409</v>
      </c>
      <c r="P4694" s="338" t="s">
        <v>410</v>
      </c>
    </row>
    <row r="4695" spans="2:16" x14ac:dyDescent="0.25">
      <c r="B4695" s="336" t="s">
        <v>416</v>
      </c>
      <c r="C4695" s="337">
        <v>38448</v>
      </c>
      <c r="D4695" s="338" t="s">
        <v>1086</v>
      </c>
      <c r="E4695" s="336" t="s">
        <v>1085</v>
      </c>
      <c r="F4695" s="338"/>
      <c r="G4695" s="338">
        <v>0.27</v>
      </c>
      <c r="H4695" s="338" t="s">
        <v>425</v>
      </c>
      <c r="I4695" s="338" t="s">
        <v>411</v>
      </c>
      <c r="J4695" s="339"/>
      <c r="K4695" s="339"/>
      <c r="L4695" s="339" t="s">
        <v>409</v>
      </c>
      <c r="M4695" s="339" t="s">
        <v>409</v>
      </c>
      <c r="N4695" s="338" t="s">
        <v>417</v>
      </c>
      <c r="O4695" s="338" t="s">
        <v>409</v>
      </c>
      <c r="P4695" s="338" t="s">
        <v>432</v>
      </c>
    </row>
    <row r="4696" spans="2:16" x14ac:dyDescent="0.25">
      <c r="B4696" s="336" t="s">
        <v>416</v>
      </c>
      <c r="C4696" s="337">
        <v>38448</v>
      </c>
      <c r="D4696" s="338" t="s">
        <v>1084</v>
      </c>
      <c r="E4696" s="336" t="s">
        <v>441</v>
      </c>
      <c r="F4696" s="338" t="s">
        <v>1083</v>
      </c>
      <c r="G4696" s="338" t="s">
        <v>413</v>
      </c>
      <c r="H4696" s="338" t="s">
        <v>412</v>
      </c>
      <c r="I4696" s="338" t="s">
        <v>411</v>
      </c>
      <c r="J4696" s="339"/>
      <c r="K4696" s="339"/>
      <c r="L4696" s="339"/>
      <c r="M4696" s="339"/>
      <c r="N4696" s="338"/>
      <c r="O4696" s="338" t="s">
        <v>417</v>
      </c>
      <c r="P4696" s="338" t="s">
        <v>417</v>
      </c>
    </row>
    <row r="4697" spans="2:16" x14ac:dyDescent="0.25">
      <c r="B4697" s="336" t="s">
        <v>416</v>
      </c>
      <c r="C4697" s="337">
        <v>38448</v>
      </c>
      <c r="D4697" s="338" t="s">
        <v>1082</v>
      </c>
      <c r="E4697" s="336" t="s">
        <v>441</v>
      </c>
      <c r="F4697" s="338" t="s">
        <v>1081</v>
      </c>
      <c r="G4697" s="338" t="s">
        <v>413</v>
      </c>
      <c r="H4697" s="338" t="s">
        <v>412</v>
      </c>
      <c r="I4697" s="338" t="s">
        <v>411</v>
      </c>
      <c r="J4697" s="339"/>
      <c r="K4697" s="339"/>
      <c r="L4697" s="339"/>
      <c r="M4697" s="339"/>
      <c r="N4697" s="338"/>
      <c r="O4697" s="338" t="s">
        <v>417</v>
      </c>
      <c r="P4697" s="338" t="s">
        <v>417</v>
      </c>
    </row>
    <row r="4698" spans="2:16" x14ac:dyDescent="0.25">
      <c r="B4698" s="336" t="s">
        <v>416</v>
      </c>
      <c r="C4698" s="337">
        <v>38448</v>
      </c>
      <c r="D4698" s="338" t="s">
        <v>1080</v>
      </c>
      <c r="E4698" s="336" t="s">
        <v>1079</v>
      </c>
      <c r="F4698" s="338"/>
      <c r="G4698" s="338" t="s">
        <v>413</v>
      </c>
      <c r="H4698" s="338" t="s">
        <v>412</v>
      </c>
      <c r="I4698" s="338" t="s">
        <v>411</v>
      </c>
      <c r="J4698" s="339"/>
      <c r="K4698" s="339"/>
      <c r="L4698" s="339" t="s">
        <v>409</v>
      </c>
      <c r="M4698" s="339" t="s">
        <v>409</v>
      </c>
      <c r="N4698" s="338" t="s">
        <v>410</v>
      </c>
      <c r="O4698" s="338" t="s">
        <v>409</v>
      </c>
      <c r="P4698" s="338" t="s">
        <v>417</v>
      </c>
    </row>
    <row r="4699" spans="2:16" x14ac:dyDescent="0.25">
      <c r="B4699" s="336" t="s">
        <v>459</v>
      </c>
      <c r="C4699" s="337">
        <v>38448</v>
      </c>
      <c r="D4699" s="338" t="s">
        <v>1078</v>
      </c>
      <c r="E4699" s="336" t="s">
        <v>1077</v>
      </c>
      <c r="F4699" s="338"/>
      <c r="G4699" s="338" t="s">
        <v>413</v>
      </c>
      <c r="H4699" s="338" t="s">
        <v>425</v>
      </c>
      <c r="I4699" s="338" t="s">
        <v>411</v>
      </c>
      <c r="J4699" s="339"/>
      <c r="K4699" s="339"/>
      <c r="L4699" s="339" t="s">
        <v>409</v>
      </c>
      <c r="M4699" s="339" t="s">
        <v>409</v>
      </c>
      <c r="N4699" s="338" t="s">
        <v>417</v>
      </c>
      <c r="O4699" s="338" t="s">
        <v>409</v>
      </c>
      <c r="P4699" s="338"/>
    </row>
    <row r="4700" spans="2:16" x14ac:dyDescent="0.25">
      <c r="B4700" s="336" t="s">
        <v>416</v>
      </c>
      <c r="C4700" s="337">
        <v>38448</v>
      </c>
      <c r="D4700" s="338" t="s">
        <v>1076</v>
      </c>
      <c r="E4700" s="336" t="s">
        <v>441</v>
      </c>
      <c r="F4700" s="338"/>
      <c r="G4700" s="338" t="s">
        <v>413</v>
      </c>
      <c r="H4700" s="338" t="s">
        <v>412</v>
      </c>
      <c r="I4700" s="338" t="s">
        <v>411</v>
      </c>
      <c r="J4700" s="339"/>
      <c r="K4700" s="339"/>
      <c r="L4700" s="339" t="s">
        <v>409</v>
      </c>
      <c r="M4700" s="339" t="s">
        <v>409</v>
      </c>
      <c r="N4700" s="338"/>
      <c r="O4700" s="338" t="s">
        <v>409</v>
      </c>
      <c r="P4700" s="338" t="s">
        <v>417</v>
      </c>
    </row>
    <row r="4701" spans="2:16" x14ac:dyDescent="0.25">
      <c r="B4701" s="336" t="s">
        <v>416</v>
      </c>
      <c r="C4701" s="337">
        <v>38446</v>
      </c>
      <c r="D4701" s="338" t="s">
        <v>1075</v>
      </c>
      <c r="E4701" s="336" t="s">
        <v>874</v>
      </c>
      <c r="F4701" s="338"/>
      <c r="G4701" s="338" t="s">
        <v>413</v>
      </c>
      <c r="H4701" s="338" t="s">
        <v>412</v>
      </c>
      <c r="I4701" s="338" t="s">
        <v>411</v>
      </c>
      <c r="J4701" s="339"/>
      <c r="K4701" s="339"/>
      <c r="L4701" s="339" t="s">
        <v>409</v>
      </c>
      <c r="M4701" s="339" t="s">
        <v>409</v>
      </c>
      <c r="N4701" s="338"/>
      <c r="O4701" s="338" t="s">
        <v>409</v>
      </c>
      <c r="P4701" s="338" t="s">
        <v>417</v>
      </c>
    </row>
    <row r="4702" spans="2:16" x14ac:dyDescent="0.25">
      <c r="B4702" s="336" t="s">
        <v>416</v>
      </c>
      <c r="C4702" s="337">
        <v>38446</v>
      </c>
      <c r="D4702" s="338" t="s">
        <v>1074</v>
      </c>
      <c r="E4702" s="336" t="s">
        <v>1073</v>
      </c>
      <c r="F4702" s="338"/>
      <c r="G4702" s="338" t="s">
        <v>413</v>
      </c>
      <c r="H4702" s="338" t="s">
        <v>412</v>
      </c>
      <c r="I4702" s="338" t="s">
        <v>411</v>
      </c>
      <c r="J4702" s="339"/>
      <c r="K4702" s="339"/>
      <c r="L4702" s="339" t="s">
        <v>409</v>
      </c>
      <c r="M4702" s="339" t="s">
        <v>409</v>
      </c>
      <c r="N4702" s="338" t="s">
        <v>410</v>
      </c>
      <c r="O4702" s="338" t="s">
        <v>409</v>
      </c>
      <c r="P4702" s="338" t="s">
        <v>410</v>
      </c>
    </row>
    <row r="4703" spans="2:16" x14ac:dyDescent="0.25">
      <c r="B4703" s="336" t="s">
        <v>416</v>
      </c>
      <c r="C4703" s="337">
        <v>38446</v>
      </c>
      <c r="D4703" s="338" t="s">
        <v>1072</v>
      </c>
      <c r="E4703" s="336" t="s">
        <v>1071</v>
      </c>
      <c r="F4703" s="338" t="s">
        <v>1070</v>
      </c>
      <c r="G4703" s="338">
        <v>58.8</v>
      </c>
      <c r="H4703" s="338" t="s">
        <v>425</v>
      </c>
      <c r="I4703" s="338" t="s">
        <v>411</v>
      </c>
      <c r="J4703" s="339"/>
      <c r="K4703" s="339"/>
      <c r="L4703" s="339">
        <v>9.6661800000000007</v>
      </c>
      <c r="M4703" s="339">
        <v>19.020099999999999</v>
      </c>
      <c r="N4703" s="338"/>
      <c r="O4703" s="338" t="s">
        <v>443</v>
      </c>
      <c r="P4703" s="338" t="s">
        <v>443</v>
      </c>
    </row>
    <row r="4704" spans="2:16" x14ac:dyDescent="0.25">
      <c r="B4704" s="336" t="s">
        <v>541</v>
      </c>
      <c r="C4704" s="337">
        <v>38443</v>
      </c>
      <c r="D4704" s="338" t="s">
        <v>1069</v>
      </c>
      <c r="E4704" s="336" t="s">
        <v>539</v>
      </c>
      <c r="F4704" s="338" t="s">
        <v>1068</v>
      </c>
      <c r="G4704" s="338" t="s">
        <v>413</v>
      </c>
      <c r="H4704" s="338"/>
      <c r="I4704" s="338" t="s">
        <v>411</v>
      </c>
      <c r="J4704" s="339"/>
      <c r="K4704" s="339"/>
      <c r="L4704" s="339"/>
      <c r="M4704" s="339"/>
      <c r="N4704" s="338"/>
      <c r="O4704" s="338" t="s">
        <v>487</v>
      </c>
      <c r="P4704" s="338" t="s">
        <v>409</v>
      </c>
    </row>
    <row r="4705" spans="2:16" x14ac:dyDescent="0.25">
      <c r="B4705" s="336" t="s">
        <v>416</v>
      </c>
      <c r="C4705" s="337">
        <v>38443</v>
      </c>
      <c r="D4705" s="338" t="s">
        <v>1067</v>
      </c>
      <c r="E4705" s="336" t="s">
        <v>1066</v>
      </c>
      <c r="F4705" s="338" t="s">
        <v>1065</v>
      </c>
      <c r="G4705" s="338" t="s">
        <v>413</v>
      </c>
      <c r="H4705" s="338" t="s">
        <v>412</v>
      </c>
      <c r="I4705" s="338" t="s">
        <v>411</v>
      </c>
      <c r="J4705" s="339"/>
      <c r="K4705" s="339"/>
      <c r="L4705" s="339">
        <v>1.4101900000000001</v>
      </c>
      <c r="M4705" s="339">
        <v>14.636200000000001</v>
      </c>
      <c r="N4705" s="338"/>
      <c r="O4705" s="338" t="s">
        <v>487</v>
      </c>
      <c r="P4705" s="338" t="s">
        <v>417</v>
      </c>
    </row>
    <row r="4706" spans="2:16" x14ac:dyDescent="0.25">
      <c r="B4706" s="336" t="s">
        <v>416</v>
      </c>
      <c r="C4706" s="337">
        <v>38442</v>
      </c>
      <c r="D4706" s="338" t="s">
        <v>1064</v>
      </c>
      <c r="E4706" s="336" t="s">
        <v>1063</v>
      </c>
      <c r="F4706" s="338" t="s">
        <v>485</v>
      </c>
      <c r="G4706" s="338">
        <v>0.55000000000000004</v>
      </c>
      <c r="H4706" s="338" t="s">
        <v>425</v>
      </c>
      <c r="I4706" s="338" t="s">
        <v>411</v>
      </c>
      <c r="J4706" s="339"/>
      <c r="K4706" s="339"/>
      <c r="L4706" s="339">
        <v>1.6673</v>
      </c>
      <c r="M4706" s="339">
        <v>5.5370400000000002</v>
      </c>
      <c r="N4706" s="338"/>
      <c r="O4706" s="338" t="s">
        <v>417</v>
      </c>
      <c r="P4706" s="338" t="s">
        <v>543</v>
      </c>
    </row>
    <row r="4707" spans="2:16" x14ac:dyDescent="0.25">
      <c r="B4707" s="336" t="s">
        <v>416</v>
      </c>
      <c r="C4707" s="337">
        <v>38442</v>
      </c>
      <c r="D4707" s="338" t="s">
        <v>1062</v>
      </c>
      <c r="E4707" s="336" t="s">
        <v>525</v>
      </c>
      <c r="F4707" s="338"/>
      <c r="G4707" s="338" t="s">
        <v>413</v>
      </c>
      <c r="H4707" s="338" t="s">
        <v>425</v>
      </c>
      <c r="I4707" s="338" t="s">
        <v>411</v>
      </c>
      <c r="J4707" s="339"/>
      <c r="K4707" s="339"/>
      <c r="L4707" s="339" t="s">
        <v>409</v>
      </c>
      <c r="M4707" s="339" t="s">
        <v>409</v>
      </c>
      <c r="N4707" s="338" t="s">
        <v>417</v>
      </c>
      <c r="O4707" s="338" t="s">
        <v>409</v>
      </c>
      <c r="P4707" s="338" t="s">
        <v>417</v>
      </c>
    </row>
    <row r="4708" spans="2:16" x14ac:dyDescent="0.25">
      <c r="B4708" s="336" t="s">
        <v>416</v>
      </c>
      <c r="C4708" s="337">
        <v>38442</v>
      </c>
      <c r="D4708" s="338" t="s">
        <v>1061</v>
      </c>
      <c r="E4708" s="336" t="s">
        <v>1060</v>
      </c>
      <c r="F4708" s="338"/>
      <c r="G4708" s="338" t="s">
        <v>413</v>
      </c>
      <c r="H4708" s="338" t="s">
        <v>412</v>
      </c>
      <c r="I4708" s="338" t="s">
        <v>411</v>
      </c>
      <c r="J4708" s="339"/>
      <c r="K4708" s="339"/>
      <c r="L4708" s="339" t="s">
        <v>409</v>
      </c>
      <c r="M4708" s="339" t="s">
        <v>409</v>
      </c>
      <c r="N4708" s="338" t="s">
        <v>417</v>
      </c>
      <c r="O4708" s="338" t="s">
        <v>409</v>
      </c>
      <c r="P4708" s="338" t="s">
        <v>443</v>
      </c>
    </row>
    <row r="4709" spans="2:16" x14ac:dyDescent="0.25">
      <c r="B4709" s="336" t="s">
        <v>416</v>
      </c>
      <c r="C4709" s="337">
        <v>38442</v>
      </c>
      <c r="D4709" s="338" t="s">
        <v>1059</v>
      </c>
      <c r="E4709" s="336" t="s">
        <v>1058</v>
      </c>
      <c r="F4709" s="338" t="s">
        <v>1057</v>
      </c>
      <c r="G4709" s="338" t="s">
        <v>413</v>
      </c>
      <c r="H4709" s="338" t="s">
        <v>412</v>
      </c>
      <c r="I4709" s="338" t="s">
        <v>411</v>
      </c>
      <c r="J4709" s="339"/>
      <c r="K4709" s="339"/>
      <c r="L4709" s="339"/>
      <c r="M4709" s="339"/>
      <c r="N4709" s="338"/>
      <c r="O4709" s="338" t="s">
        <v>612</v>
      </c>
      <c r="P4709" s="338" t="s">
        <v>417</v>
      </c>
    </row>
    <row r="4710" spans="2:16" x14ac:dyDescent="0.25">
      <c r="B4710" s="336" t="s">
        <v>542</v>
      </c>
      <c r="C4710" s="337">
        <v>38441</v>
      </c>
      <c r="D4710" s="338" t="s">
        <v>1056</v>
      </c>
      <c r="E4710" s="336" t="s">
        <v>539</v>
      </c>
      <c r="F4710" s="338"/>
      <c r="G4710" s="338">
        <v>775.5</v>
      </c>
      <c r="H4710" s="338"/>
      <c r="I4710" s="338" t="s">
        <v>411</v>
      </c>
      <c r="J4710" s="339">
        <v>0.24737100000000001</v>
      </c>
      <c r="K4710" s="339">
        <v>10.732799999999999</v>
      </c>
      <c r="L4710" s="339" t="s">
        <v>409</v>
      </c>
      <c r="M4710" s="339" t="s">
        <v>409</v>
      </c>
      <c r="N4710" s="338" t="s">
        <v>417</v>
      </c>
      <c r="O4710" s="338" t="s">
        <v>409</v>
      </c>
      <c r="P4710" s="338" t="s">
        <v>417</v>
      </c>
    </row>
    <row r="4711" spans="2:16" x14ac:dyDescent="0.25">
      <c r="B4711" s="336" t="s">
        <v>416</v>
      </c>
      <c r="C4711" s="337">
        <v>38441</v>
      </c>
      <c r="D4711" s="338" t="s">
        <v>1055</v>
      </c>
      <c r="E4711" s="336" t="s">
        <v>1054</v>
      </c>
      <c r="F4711" s="338" t="s">
        <v>566</v>
      </c>
      <c r="G4711" s="338" t="s">
        <v>413</v>
      </c>
      <c r="H4711" s="338" t="s">
        <v>412</v>
      </c>
      <c r="I4711" s="338" t="s">
        <v>411</v>
      </c>
      <c r="J4711" s="339"/>
      <c r="K4711" s="339"/>
      <c r="L4711" s="339">
        <v>1.75058</v>
      </c>
      <c r="M4711" s="339">
        <v>12.6243</v>
      </c>
      <c r="N4711" s="338" t="s">
        <v>410</v>
      </c>
      <c r="O4711" s="338" t="s">
        <v>410</v>
      </c>
      <c r="P4711" s="338" t="s">
        <v>410</v>
      </c>
    </row>
    <row r="4712" spans="2:16" x14ac:dyDescent="0.25">
      <c r="B4712" s="336" t="s">
        <v>416</v>
      </c>
      <c r="C4712" s="337">
        <v>38440</v>
      </c>
      <c r="D4712" s="338" t="s">
        <v>1053</v>
      </c>
      <c r="E4712" s="336" t="s">
        <v>1052</v>
      </c>
      <c r="F4712" s="338"/>
      <c r="G4712" s="338" t="s">
        <v>413</v>
      </c>
      <c r="H4712" s="338" t="s">
        <v>412</v>
      </c>
      <c r="I4712" s="338" t="s">
        <v>411</v>
      </c>
      <c r="J4712" s="339"/>
      <c r="K4712" s="339"/>
      <c r="L4712" s="339" t="s">
        <v>409</v>
      </c>
      <c r="M4712" s="339" t="s">
        <v>409</v>
      </c>
      <c r="N4712" s="338" t="s">
        <v>417</v>
      </c>
      <c r="O4712" s="338" t="s">
        <v>409</v>
      </c>
      <c r="P4712" s="338" t="s">
        <v>432</v>
      </c>
    </row>
    <row r="4713" spans="2:16" x14ac:dyDescent="0.25">
      <c r="B4713" s="336" t="s">
        <v>416</v>
      </c>
      <c r="C4713" s="337">
        <v>38439</v>
      </c>
      <c r="D4713" s="338" t="s">
        <v>1051</v>
      </c>
      <c r="E4713" s="336" t="s">
        <v>1050</v>
      </c>
      <c r="F4713" s="338"/>
      <c r="G4713" s="338" t="s">
        <v>413</v>
      </c>
      <c r="H4713" s="338" t="s">
        <v>412</v>
      </c>
      <c r="I4713" s="338" t="s">
        <v>411</v>
      </c>
      <c r="J4713" s="339"/>
      <c r="K4713" s="339"/>
      <c r="L4713" s="339" t="s">
        <v>409</v>
      </c>
      <c r="M4713" s="339" t="s">
        <v>409</v>
      </c>
      <c r="N4713" s="338" t="s">
        <v>605</v>
      </c>
      <c r="O4713" s="338" t="s">
        <v>409</v>
      </c>
      <c r="P4713" s="338" t="s">
        <v>432</v>
      </c>
    </row>
    <row r="4714" spans="2:16" x14ac:dyDescent="0.25">
      <c r="B4714" s="336" t="s">
        <v>416</v>
      </c>
      <c r="C4714" s="337">
        <v>38439</v>
      </c>
      <c r="D4714" s="338" t="s">
        <v>1049</v>
      </c>
      <c r="E4714" s="336" t="s">
        <v>1048</v>
      </c>
      <c r="F4714" s="338"/>
      <c r="G4714" s="338" t="s">
        <v>413</v>
      </c>
      <c r="H4714" s="338" t="s">
        <v>412</v>
      </c>
      <c r="I4714" s="338" t="s">
        <v>411</v>
      </c>
      <c r="J4714" s="339"/>
      <c r="K4714" s="339"/>
      <c r="L4714" s="339" t="s">
        <v>409</v>
      </c>
      <c r="M4714" s="339" t="s">
        <v>409</v>
      </c>
      <c r="N4714" s="338" t="s">
        <v>417</v>
      </c>
      <c r="O4714" s="338" t="s">
        <v>409</v>
      </c>
      <c r="P4714" s="338" t="s">
        <v>443</v>
      </c>
    </row>
    <row r="4715" spans="2:16" x14ac:dyDescent="0.25">
      <c r="B4715" s="336" t="s">
        <v>542</v>
      </c>
      <c r="C4715" s="337">
        <v>38436</v>
      </c>
      <c r="D4715" s="338" t="s">
        <v>1047</v>
      </c>
      <c r="E4715" s="336" t="s">
        <v>539</v>
      </c>
      <c r="F4715" s="338"/>
      <c r="G4715" s="338">
        <v>84</v>
      </c>
      <c r="H4715" s="338"/>
      <c r="I4715" s="338" t="s">
        <v>411</v>
      </c>
      <c r="J4715" s="339">
        <v>1.9172499999999999</v>
      </c>
      <c r="K4715" s="339">
        <v>7.5117000000000003</v>
      </c>
      <c r="L4715" s="339" t="s">
        <v>409</v>
      </c>
      <c r="M4715" s="339" t="s">
        <v>409</v>
      </c>
      <c r="N4715" s="338" t="s">
        <v>417</v>
      </c>
      <c r="O4715" s="338" t="s">
        <v>409</v>
      </c>
      <c r="P4715" s="338" t="s">
        <v>417</v>
      </c>
    </row>
    <row r="4716" spans="2:16" x14ac:dyDescent="0.25">
      <c r="B4716" s="336" t="s">
        <v>416</v>
      </c>
      <c r="C4716" s="337">
        <v>38434</v>
      </c>
      <c r="D4716" s="338" t="s">
        <v>1046</v>
      </c>
      <c r="E4716" s="336" t="s">
        <v>1045</v>
      </c>
      <c r="F4716" s="338" t="s">
        <v>1044</v>
      </c>
      <c r="G4716" s="338" t="s">
        <v>413</v>
      </c>
      <c r="H4716" s="338" t="s">
        <v>412</v>
      </c>
      <c r="I4716" s="338" t="s">
        <v>411</v>
      </c>
      <c r="J4716" s="339"/>
      <c r="K4716" s="339"/>
      <c r="L4716" s="339"/>
      <c r="M4716" s="339"/>
      <c r="N4716" s="338"/>
      <c r="O4716" s="338" t="s">
        <v>417</v>
      </c>
      <c r="P4716" s="338" t="s">
        <v>432</v>
      </c>
    </row>
    <row r="4717" spans="2:16" x14ac:dyDescent="0.25">
      <c r="B4717" s="336" t="s">
        <v>416</v>
      </c>
      <c r="C4717" s="337">
        <v>38433</v>
      </c>
      <c r="D4717" s="338" t="s">
        <v>1043</v>
      </c>
      <c r="E4717" s="336" t="s">
        <v>1042</v>
      </c>
      <c r="F4717" s="338"/>
      <c r="G4717" s="338" t="s">
        <v>413</v>
      </c>
      <c r="H4717" s="338" t="s">
        <v>412</v>
      </c>
      <c r="I4717" s="338" t="s">
        <v>411</v>
      </c>
      <c r="J4717" s="339"/>
      <c r="K4717" s="339"/>
      <c r="L4717" s="339" t="s">
        <v>409</v>
      </c>
      <c r="M4717" s="339" t="s">
        <v>409</v>
      </c>
      <c r="N4717" s="338" t="s">
        <v>417</v>
      </c>
      <c r="O4717" s="338" t="s">
        <v>409</v>
      </c>
      <c r="P4717" s="338"/>
    </row>
    <row r="4718" spans="2:16" x14ac:dyDescent="0.25">
      <c r="B4718" s="336" t="s">
        <v>416</v>
      </c>
      <c r="C4718" s="337">
        <v>38433</v>
      </c>
      <c r="D4718" s="338" t="s">
        <v>1041</v>
      </c>
      <c r="E4718" s="336" t="s">
        <v>1040</v>
      </c>
      <c r="F4718" s="338"/>
      <c r="G4718" s="338" t="s">
        <v>413</v>
      </c>
      <c r="H4718" s="338" t="s">
        <v>412</v>
      </c>
      <c r="I4718" s="338" t="s">
        <v>411</v>
      </c>
      <c r="J4718" s="339"/>
      <c r="K4718" s="339"/>
      <c r="L4718" s="339" t="s">
        <v>409</v>
      </c>
      <c r="M4718" s="339" t="s">
        <v>409</v>
      </c>
      <c r="N4718" s="338" t="s">
        <v>417</v>
      </c>
      <c r="O4718" s="338" t="s">
        <v>409</v>
      </c>
      <c r="P4718" s="338" t="s">
        <v>417</v>
      </c>
    </row>
    <row r="4719" spans="2:16" x14ac:dyDescent="0.25">
      <c r="B4719" s="336" t="s">
        <v>416</v>
      </c>
      <c r="C4719" s="337">
        <v>38433</v>
      </c>
      <c r="D4719" s="338" t="s">
        <v>1039</v>
      </c>
      <c r="E4719" s="336" t="s">
        <v>1038</v>
      </c>
      <c r="F4719" s="338"/>
      <c r="G4719" s="338" t="s">
        <v>413</v>
      </c>
      <c r="H4719" s="338" t="s">
        <v>412</v>
      </c>
      <c r="I4719" s="338" t="s">
        <v>411</v>
      </c>
      <c r="J4719" s="339"/>
      <c r="K4719" s="339"/>
      <c r="L4719" s="339" t="s">
        <v>409</v>
      </c>
      <c r="M4719" s="339" t="s">
        <v>409</v>
      </c>
      <c r="N4719" s="338" t="s">
        <v>417</v>
      </c>
      <c r="O4719" s="338" t="s">
        <v>409</v>
      </c>
      <c r="P4719" s="338" t="s">
        <v>417</v>
      </c>
    </row>
    <row r="4720" spans="2:16" x14ac:dyDescent="0.25">
      <c r="B4720" s="336" t="s">
        <v>541</v>
      </c>
      <c r="C4720" s="337">
        <v>38429</v>
      </c>
      <c r="D4720" s="338" t="s">
        <v>1037</v>
      </c>
      <c r="E4720" s="336" t="s">
        <v>539</v>
      </c>
      <c r="F4720" s="338" t="s">
        <v>1036</v>
      </c>
      <c r="G4720" s="338">
        <v>94.8</v>
      </c>
      <c r="H4720" s="338"/>
      <c r="I4720" s="338" t="s">
        <v>411</v>
      </c>
      <c r="J4720" s="339">
        <v>0.13336500000000001</v>
      </c>
      <c r="K4720" s="339"/>
      <c r="L4720" s="339">
        <v>0.16922599999999999</v>
      </c>
      <c r="M4720" s="339">
        <v>8.2642799999999994</v>
      </c>
      <c r="N4720" s="338" t="s">
        <v>432</v>
      </c>
      <c r="O4720" s="338" t="s">
        <v>417</v>
      </c>
      <c r="P4720" s="338" t="s">
        <v>409</v>
      </c>
    </row>
    <row r="4721" spans="2:16" x14ac:dyDescent="0.25">
      <c r="B4721" s="336" t="s">
        <v>416</v>
      </c>
      <c r="C4721" s="337">
        <v>38428</v>
      </c>
      <c r="D4721" s="338" t="s">
        <v>472</v>
      </c>
      <c r="E4721" s="336" t="s">
        <v>1035</v>
      </c>
      <c r="F4721" s="338"/>
      <c r="G4721" s="338">
        <v>7544.39</v>
      </c>
      <c r="H4721" s="338" t="s">
        <v>425</v>
      </c>
      <c r="I4721" s="338" t="s">
        <v>411</v>
      </c>
      <c r="J4721" s="339"/>
      <c r="K4721" s="339"/>
      <c r="L4721" s="339" t="s">
        <v>409</v>
      </c>
      <c r="M4721" s="339" t="s">
        <v>409</v>
      </c>
      <c r="N4721" s="338" t="s">
        <v>417</v>
      </c>
      <c r="O4721" s="338" t="s">
        <v>409</v>
      </c>
      <c r="P4721" s="338"/>
    </row>
    <row r="4722" spans="2:16" x14ac:dyDescent="0.25">
      <c r="B4722" s="336" t="s">
        <v>416</v>
      </c>
      <c r="C4722" s="337">
        <v>38427</v>
      </c>
      <c r="D4722" s="338" t="s">
        <v>1034</v>
      </c>
      <c r="E4722" s="336" t="s">
        <v>1033</v>
      </c>
      <c r="F4722" s="338" t="s">
        <v>1032</v>
      </c>
      <c r="G4722" s="338">
        <v>1.99</v>
      </c>
      <c r="H4722" s="338" t="s">
        <v>425</v>
      </c>
      <c r="I4722" s="338" t="s">
        <v>411</v>
      </c>
      <c r="J4722" s="339"/>
      <c r="K4722" s="339"/>
      <c r="L4722" s="339">
        <v>2.6935500000000001</v>
      </c>
      <c r="M4722" s="339">
        <v>12.8904</v>
      </c>
      <c r="N4722" s="338"/>
      <c r="O4722" s="338" t="s">
        <v>417</v>
      </c>
      <c r="P4722" s="338" t="s">
        <v>417</v>
      </c>
    </row>
    <row r="4723" spans="2:16" x14ac:dyDescent="0.25">
      <c r="B4723" s="336" t="s">
        <v>416</v>
      </c>
      <c r="C4723" s="337">
        <v>38426</v>
      </c>
      <c r="D4723" s="338" t="s">
        <v>1031</v>
      </c>
      <c r="E4723" s="336" t="s">
        <v>1030</v>
      </c>
      <c r="F4723" s="338"/>
      <c r="G4723" s="338" t="s">
        <v>413</v>
      </c>
      <c r="H4723" s="338" t="s">
        <v>412</v>
      </c>
      <c r="I4723" s="338" t="s">
        <v>411</v>
      </c>
      <c r="J4723" s="339"/>
      <c r="K4723" s="339"/>
      <c r="L4723" s="339" t="s">
        <v>409</v>
      </c>
      <c r="M4723" s="339" t="s">
        <v>409</v>
      </c>
      <c r="N4723" s="338" t="s">
        <v>417</v>
      </c>
      <c r="O4723" s="338" t="s">
        <v>409</v>
      </c>
      <c r="P4723" s="338" t="s">
        <v>410</v>
      </c>
    </row>
    <row r="4724" spans="2:16" x14ac:dyDescent="0.25">
      <c r="B4724" s="336" t="s">
        <v>416</v>
      </c>
      <c r="C4724" s="337">
        <v>38425</v>
      </c>
      <c r="D4724" s="338" t="s">
        <v>1029</v>
      </c>
      <c r="E4724" s="336" t="s">
        <v>1028</v>
      </c>
      <c r="F4724" s="338"/>
      <c r="G4724" s="338">
        <v>205</v>
      </c>
      <c r="H4724" s="338" t="s">
        <v>425</v>
      </c>
      <c r="I4724" s="338" t="s">
        <v>411</v>
      </c>
      <c r="J4724" s="339"/>
      <c r="K4724" s="339"/>
      <c r="L4724" s="339" t="s">
        <v>409</v>
      </c>
      <c r="M4724" s="339" t="s">
        <v>409</v>
      </c>
      <c r="N4724" s="338" t="s">
        <v>417</v>
      </c>
      <c r="O4724" s="338" t="s">
        <v>409</v>
      </c>
      <c r="P4724" s="338" t="s">
        <v>417</v>
      </c>
    </row>
    <row r="4725" spans="2:16" x14ac:dyDescent="0.25">
      <c r="B4725" s="336" t="s">
        <v>416</v>
      </c>
      <c r="C4725" s="337">
        <v>38422</v>
      </c>
      <c r="D4725" s="338" t="s">
        <v>1027</v>
      </c>
      <c r="E4725" s="336" t="s">
        <v>1026</v>
      </c>
      <c r="F4725" s="338"/>
      <c r="G4725" s="338">
        <v>14.5</v>
      </c>
      <c r="H4725" s="338" t="s">
        <v>425</v>
      </c>
      <c r="I4725" s="338" t="s">
        <v>411</v>
      </c>
      <c r="J4725" s="339"/>
      <c r="K4725" s="339"/>
      <c r="L4725" s="339" t="s">
        <v>409</v>
      </c>
      <c r="M4725" s="339" t="s">
        <v>409</v>
      </c>
      <c r="N4725" s="338"/>
      <c r="O4725" s="338" t="s">
        <v>409</v>
      </c>
      <c r="P4725" s="338" t="s">
        <v>443</v>
      </c>
    </row>
    <row r="4726" spans="2:16" x14ac:dyDescent="0.25">
      <c r="B4726" s="336" t="s">
        <v>416</v>
      </c>
      <c r="C4726" s="337">
        <v>38422</v>
      </c>
      <c r="D4726" s="338" t="s">
        <v>1025</v>
      </c>
      <c r="E4726" s="336" t="s">
        <v>480</v>
      </c>
      <c r="F4726" s="338" t="s">
        <v>1024</v>
      </c>
      <c r="G4726" s="338">
        <v>91</v>
      </c>
      <c r="H4726" s="338" t="s">
        <v>412</v>
      </c>
      <c r="I4726" s="338" t="s">
        <v>411</v>
      </c>
      <c r="J4726" s="339"/>
      <c r="K4726" s="339"/>
      <c r="L4726" s="339"/>
      <c r="M4726" s="339"/>
      <c r="N4726" s="338" t="s">
        <v>417</v>
      </c>
      <c r="O4726" s="338" t="s">
        <v>443</v>
      </c>
      <c r="P4726" s="338" t="s">
        <v>443</v>
      </c>
    </row>
    <row r="4727" spans="2:16" x14ac:dyDescent="0.25">
      <c r="B4727" s="336" t="s">
        <v>416</v>
      </c>
      <c r="C4727" s="337">
        <v>38422</v>
      </c>
      <c r="D4727" s="338" t="s">
        <v>1023</v>
      </c>
      <c r="E4727" s="336" t="s">
        <v>1022</v>
      </c>
      <c r="F4727" s="338"/>
      <c r="G4727" s="338" t="s">
        <v>413</v>
      </c>
      <c r="H4727" s="338" t="s">
        <v>412</v>
      </c>
      <c r="I4727" s="338" t="s">
        <v>411</v>
      </c>
      <c r="J4727" s="339"/>
      <c r="K4727" s="339"/>
      <c r="L4727" s="339" t="s">
        <v>409</v>
      </c>
      <c r="M4727" s="339" t="s">
        <v>409</v>
      </c>
      <c r="N4727" s="338" t="s">
        <v>417</v>
      </c>
      <c r="O4727" s="338" t="s">
        <v>409</v>
      </c>
      <c r="P4727" s="338" t="s">
        <v>417</v>
      </c>
    </row>
    <row r="4728" spans="2:16" x14ac:dyDescent="0.25">
      <c r="B4728" s="336" t="s">
        <v>416</v>
      </c>
      <c r="C4728" s="337">
        <v>38421</v>
      </c>
      <c r="D4728" s="338" t="s">
        <v>1021</v>
      </c>
      <c r="E4728" s="336" t="s">
        <v>1020</v>
      </c>
      <c r="F4728" s="338" t="s">
        <v>1019</v>
      </c>
      <c r="G4728" s="338" t="s">
        <v>413</v>
      </c>
      <c r="H4728" s="338" t="s">
        <v>412</v>
      </c>
      <c r="I4728" s="338" t="s">
        <v>411</v>
      </c>
      <c r="J4728" s="339"/>
      <c r="K4728" s="339"/>
      <c r="L4728" s="339"/>
      <c r="M4728" s="339"/>
      <c r="N4728" s="338"/>
      <c r="O4728" s="338" t="s">
        <v>487</v>
      </c>
      <c r="P4728" s="338" t="s">
        <v>487</v>
      </c>
    </row>
    <row r="4729" spans="2:16" x14ac:dyDescent="0.25">
      <c r="B4729" s="336" t="s">
        <v>416</v>
      </c>
      <c r="C4729" s="337">
        <v>38421</v>
      </c>
      <c r="D4729" s="338" t="s">
        <v>1018</v>
      </c>
      <c r="E4729" s="336" t="s">
        <v>1017</v>
      </c>
      <c r="F4729" s="338" t="s">
        <v>1016</v>
      </c>
      <c r="G4729" s="338">
        <v>3.28</v>
      </c>
      <c r="H4729" s="338" t="s">
        <v>336</v>
      </c>
      <c r="I4729" s="338" t="s">
        <v>411</v>
      </c>
      <c r="J4729" s="339"/>
      <c r="K4729" s="339"/>
      <c r="L4729" s="339"/>
      <c r="M4729" s="339"/>
      <c r="N4729" s="338" t="s">
        <v>612</v>
      </c>
      <c r="O4729" s="338" t="s">
        <v>443</v>
      </c>
      <c r="P4729" s="338" t="s">
        <v>417</v>
      </c>
    </row>
    <row r="4730" spans="2:16" x14ac:dyDescent="0.25">
      <c r="B4730" s="336" t="s">
        <v>416</v>
      </c>
      <c r="C4730" s="337">
        <v>38420</v>
      </c>
      <c r="D4730" s="338" t="s">
        <v>1015</v>
      </c>
      <c r="E4730" s="336" t="s">
        <v>891</v>
      </c>
      <c r="F4730" s="338"/>
      <c r="G4730" s="338" t="s">
        <v>413</v>
      </c>
      <c r="H4730" s="338" t="s">
        <v>412</v>
      </c>
      <c r="I4730" s="338" t="s">
        <v>411</v>
      </c>
      <c r="J4730" s="339"/>
      <c r="K4730" s="339"/>
      <c r="L4730" s="339" t="s">
        <v>409</v>
      </c>
      <c r="M4730" s="339" t="s">
        <v>409</v>
      </c>
      <c r="N4730" s="338" t="s">
        <v>417</v>
      </c>
      <c r="O4730" s="338" t="s">
        <v>409</v>
      </c>
      <c r="P4730" s="338" t="s">
        <v>410</v>
      </c>
    </row>
    <row r="4731" spans="2:16" x14ac:dyDescent="0.25">
      <c r="B4731" s="336" t="s">
        <v>416</v>
      </c>
      <c r="C4731" s="337">
        <v>38420</v>
      </c>
      <c r="D4731" s="338" t="s">
        <v>1014</v>
      </c>
      <c r="E4731" s="336" t="s">
        <v>1013</v>
      </c>
      <c r="F4731" s="338"/>
      <c r="G4731" s="338" t="s">
        <v>413</v>
      </c>
      <c r="H4731" s="338" t="s">
        <v>412</v>
      </c>
      <c r="I4731" s="338" t="s">
        <v>411</v>
      </c>
      <c r="J4731" s="339"/>
      <c r="K4731" s="339"/>
      <c r="L4731" s="339" t="s">
        <v>409</v>
      </c>
      <c r="M4731" s="339" t="s">
        <v>409</v>
      </c>
      <c r="N4731" s="338" t="s">
        <v>432</v>
      </c>
      <c r="O4731" s="338" t="s">
        <v>409</v>
      </c>
      <c r="P4731" s="338" t="s">
        <v>432</v>
      </c>
    </row>
    <row r="4732" spans="2:16" x14ac:dyDescent="0.25">
      <c r="B4732" s="336" t="s">
        <v>416</v>
      </c>
      <c r="C4732" s="337">
        <v>38420</v>
      </c>
      <c r="D4732" s="338" t="s">
        <v>1012</v>
      </c>
      <c r="E4732" s="336" t="s">
        <v>1011</v>
      </c>
      <c r="F4732" s="338"/>
      <c r="G4732" s="338">
        <v>0.81</v>
      </c>
      <c r="H4732" s="338" t="s">
        <v>696</v>
      </c>
      <c r="I4732" s="338" t="s">
        <v>411</v>
      </c>
      <c r="J4732" s="339"/>
      <c r="K4732" s="339"/>
      <c r="L4732" s="339" t="s">
        <v>409</v>
      </c>
      <c r="M4732" s="339" t="s">
        <v>409</v>
      </c>
      <c r="N4732" s="338" t="s">
        <v>417</v>
      </c>
      <c r="O4732" s="338" t="s">
        <v>409</v>
      </c>
      <c r="P4732" s="338" t="s">
        <v>432</v>
      </c>
    </row>
    <row r="4733" spans="2:16" x14ac:dyDescent="0.25">
      <c r="B4733" s="336" t="s">
        <v>416</v>
      </c>
      <c r="C4733" s="337">
        <v>38419</v>
      </c>
      <c r="D4733" s="338" t="s">
        <v>1010</v>
      </c>
      <c r="E4733" s="336" t="s">
        <v>1009</v>
      </c>
      <c r="F4733" s="338" t="s">
        <v>1008</v>
      </c>
      <c r="G4733" s="338" t="s">
        <v>413</v>
      </c>
      <c r="H4733" s="338" t="s">
        <v>412</v>
      </c>
      <c r="I4733" s="338" t="s">
        <v>411</v>
      </c>
      <c r="J4733" s="339"/>
      <c r="K4733" s="339"/>
      <c r="L4733" s="339"/>
      <c r="M4733" s="339"/>
      <c r="N4733" s="338" t="s">
        <v>417</v>
      </c>
      <c r="O4733" s="338" t="s">
        <v>443</v>
      </c>
      <c r="P4733" s="338" t="s">
        <v>417</v>
      </c>
    </row>
    <row r="4734" spans="2:16" x14ac:dyDescent="0.25">
      <c r="B4734" s="336" t="s">
        <v>416</v>
      </c>
      <c r="C4734" s="337">
        <v>38419</v>
      </c>
      <c r="D4734" s="338" t="s">
        <v>1007</v>
      </c>
      <c r="E4734" s="336" t="s">
        <v>1006</v>
      </c>
      <c r="F4734" s="338" t="s">
        <v>1005</v>
      </c>
      <c r="G4734" s="338">
        <v>3.6</v>
      </c>
      <c r="H4734" s="338" t="s">
        <v>412</v>
      </c>
      <c r="I4734" s="338" t="s">
        <v>411</v>
      </c>
      <c r="J4734" s="339"/>
      <c r="K4734" s="339"/>
      <c r="L4734" s="339"/>
      <c r="M4734" s="339"/>
      <c r="N4734" s="338"/>
      <c r="O4734" s="338" t="s">
        <v>417</v>
      </c>
      <c r="P4734" s="338" t="s">
        <v>417</v>
      </c>
    </row>
    <row r="4735" spans="2:16" x14ac:dyDescent="0.25">
      <c r="B4735" s="336" t="s">
        <v>416</v>
      </c>
      <c r="C4735" s="337">
        <v>38418</v>
      </c>
      <c r="D4735" s="338" t="s">
        <v>945</v>
      </c>
      <c r="E4735" s="336" t="s">
        <v>1004</v>
      </c>
      <c r="F4735" s="338" t="s">
        <v>1003</v>
      </c>
      <c r="G4735" s="338" t="s">
        <v>413</v>
      </c>
      <c r="H4735" s="338" t="s">
        <v>412</v>
      </c>
      <c r="I4735" s="338" t="s">
        <v>411</v>
      </c>
      <c r="J4735" s="339"/>
      <c r="K4735" s="339"/>
      <c r="L4735" s="339"/>
      <c r="M4735" s="339"/>
      <c r="N4735" s="338"/>
      <c r="O4735" s="338" t="s">
        <v>417</v>
      </c>
      <c r="P4735" s="338" t="s">
        <v>417</v>
      </c>
    </row>
    <row r="4736" spans="2:16" x14ac:dyDescent="0.25">
      <c r="B4736" s="336" t="s">
        <v>416</v>
      </c>
      <c r="C4736" s="337">
        <v>38416</v>
      </c>
      <c r="D4736" s="338" t="s">
        <v>1002</v>
      </c>
      <c r="E4736" s="336" t="s">
        <v>1001</v>
      </c>
      <c r="F4736" s="338"/>
      <c r="G4736" s="338" t="s">
        <v>413</v>
      </c>
      <c r="H4736" s="338" t="s">
        <v>412</v>
      </c>
      <c r="I4736" s="338" t="s">
        <v>411</v>
      </c>
      <c r="J4736" s="339"/>
      <c r="K4736" s="339"/>
      <c r="L4736" s="339" t="s">
        <v>409</v>
      </c>
      <c r="M4736" s="339" t="s">
        <v>409</v>
      </c>
      <c r="N4736" s="338" t="s">
        <v>417</v>
      </c>
      <c r="O4736" s="338" t="s">
        <v>409</v>
      </c>
      <c r="P4736" s="338" t="s">
        <v>417</v>
      </c>
    </row>
    <row r="4737" spans="2:16" x14ac:dyDescent="0.25">
      <c r="B4737" s="336" t="s">
        <v>416</v>
      </c>
      <c r="C4737" s="337">
        <v>38414</v>
      </c>
      <c r="D4737" s="338" t="s">
        <v>1000</v>
      </c>
      <c r="E4737" s="336" t="s">
        <v>999</v>
      </c>
      <c r="F4737" s="338"/>
      <c r="G4737" s="338">
        <v>7.12</v>
      </c>
      <c r="H4737" s="338" t="s">
        <v>425</v>
      </c>
      <c r="I4737" s="338" t="s">
        <v>411</v>
      </c>
      <c r="J4737" s="339"/>
      <c r="K4737" s="339"/>
      <c r="L4737" s="339" t="s">
        <v>409</v>
      </c>
      <c r="M4737" s="339" t="s">
        <v>409</v>
      </c>
      <c r="N4737" s="338"/>
      <c r="O4737" s="338" t="s">
        <v>409</v>
      </c>
      <c r="P4737" s="338" t="s">
        <v>443</v>
      </c>
    </row>
    <row r="4738" spans="2:16" x14ac:dyDescent="0.25">
      <c r="B4738" s="336" t="s">
        <v>416</v>
      </c>
      <c r="C4738" s="337">
        <v>38414</v>
      </c>
      <c r="D4738" s="338" t="s">
        <v>998</v>
      </c>
      <c r="E4738" s="336" t="s">
        <v>997</v>
      </c>
      <c r="F4738" s="338" t="s">
        <v>996</v>
      </c>
      <c r="G4738" s="338" t="s">
        <v>413</v>
      </c>
      <c r="H4738" s="338" t="s">
        <v>412</v>
      </c>
      <c r="I4738" s="338" t="s">
        <v>411</v>
      </c>
      <c r="J4738" s="339"/>
      <c r="K4738" s="339"/>
      <c r="L4738" s="339"/>
      <c r="M4738" s="339"/>
      <c r="N4738" s="338"/>
      <c r="O4738" s="338" t="s">
        <v>417</v>
      </c>
      <c r="P4738" s="338" t="s">
        <v>410</v>
      </c>
    </row>
    <row r="4739" spans="2:16" x14ac:dyDescent="0.25">
      <c r="B4739" s="336" t="s">
        <v>416</v>
      </c>
      <c r="C4739" s="337">
        <v>38414</v>
      </c>
      <c r="D4739" s="338" t="s">
        <v>995</v>
      </c>
      <c r="E4739" s="336" t="s">
        <v>689</v>
      </c>
      <c r="F4739" s="338"/>
      <c r="G4739" s="338">
        <v>16.190000000000001</v>
      </c>
      <c r="H4739" s="338" t="s">
        <v>425</v>
      </c>
      <c r="I4739" s="338" t="s">
        <v>411</v>
      </c>
      <c r="J4739" s="339">
        <v>1.12991</v>
      </c>
      <c r="K4739" s="339">
        <v>6.5111400000000001</v>
      </c>
      <c r="L4739" s="339" t="s">
        <v>409</v>
      </c>
      <c r="M4739" s="339" t="s">
        <v>409</v>
      </c>
      <c r="N4739" s="338" t="s">
        <v>417</v>
      </c>
      <c r="O4739" s="338" t="s">
        <v>409</v>
      </c>
      <c r="P4739" s="338" t="s">
        <v>417</v>
      </c>
    </row>
    <row r="4740" spans="2:16" x14ac:dyDescent="0.25">
      <c r="B4740" s="336" t="s">
        <v>416</v>
      </c>
      <c r="C4740" s="337">
        <v>38414</v>
      </c>
      <c r="D4740" s="338" t="s">
        <v>994</v>
      </c>
      <c r="E4740" s="336" t="s">
        <v>993</v>
      </c>
      <c r="F4740" s="338"/>
      <c r="G4740" s="338" t="s">
        <v>413</v>
      </c>
      <c r="H4740" s="338" t="s">
        <v>412</v>
      </c>
      <c r="I4740" s="338" t="s">
        <v>411</v>
      </c>
      <c r="J4740" s="339"/>
      <c r="K4740" s="339"/>
      <c r="L4740" s="339" t="s">
        <v>409</v>
      </c>
      <c r="M4740" s="339" t="s">
        <v>409</v>
      </c>
      <c r="N4740" s="338"/>
      <c r="O4740" s="338" t="s">
        <v>409</v>
      </c>
      <c r="P4740" s="338" t="s">
        <v>543</v>
      </c>
    </row>
    <row r="4741" spans="2:16" x14ac:dyDescent="0.25">
      <c r="B4741" s="336" t="s">
        <v>416</v>
      </c>
      <c r="C4741" s="337">
        <v>38412</v>
      </c>
      <c r="D4741" s="338" t="s">
        <v>992</v>
      </c>
      <c r="E4741" s="336" t="s">
        <v>427</v>
      </c>
      <c r="F4741" s="338" t="s">
        <v>991</v>
      </c>
      <c r="G4741" s="338">
        <v>7.3</v>
      </c>
      <c r="H4741" s="338" t="s">
        <v>425</v>
      </c>
      <c r="I4741" s="338" t="s">
        <v>411</v>
      </c>
      <c r="J4741" s="339"/>
      <c r="K4741" s="339"/>
      <c r="L4741" s="339"/>
      <c r="M4741" s="339"/>
      <c r="N4741" s="338"/>
      <c r="O4741" s="338" t="s">
        <v>417</v>
      </c>
      <c r="P4741" s="338" t="s">
        <v>410</v>
      </c>
    </row>
    <row r="4742" spans="2:16" x14ac:dyDescent="0.25">
      <c r="B4742" s="336" t="s">
        <v>459</v>
      </c>
      <c r="C4742" s="337">
        <v>38412</v>
      </c>
      <c r="D4742" s="338" t="s">
        <v>990</v>
      </c>
      <c r="E4742" s="336" t="s">
        <v>989</v>
      </c>
      <c r="F4742" s="338" t="s">
        <v>988</v>
      </c>
      <c r="G4742" s="338">
        <v>1.6</v>
      </c>
      <c r="H4742" s="338" t="s">
        <v>429</v>
      </c>
      <c r="I4742" s="338" t="s">
        <v>411</v>
      </c>
      <c r="J4742" s="339"/>
      <c r="K4742" s="339"/>
      <c r="L4742" s="339"/>
      <c r="M4742" s="339"/>
      <c r="N4742" s="338" t="s">
        <v>417</v>
      </c>
      <c r="O4742" s="338" t="s">
        <v>417</v>
      </c>
      <c r="P4742" s="338" t="s">
        <v>605</v>
      </c>
    </row>
    <row r="4743" spans="2:16" x14ac:dyDescent="0.25">
      <c r="B4743" s="336" t="s">
        <v>416</v>
      </c>
      <c r="C4743" s="337">
        <v>38412</v>
      </c>
      <c r="D4743" s="338" t="s">
        <v>987</v>
      </c>
      <c r="E4743" s="336" t="s">
        <v>986</v>
      </c>
      <c r="F4743" s="338"/>
      <c r="G4743" s="338" t="s">
        <v>413</v>
      </c>
      <c r="H4743" s="338" t="s">
        <v>412</v>
      </c>
      <c r="I4743" s="338" t="s">
        <v>411</v>
      </c>
      <c r="J4743" s="339"/>
      <c r="K4743" s="339"/>
      <c r="L4743" s="339" t="s">
        <v>409</v>
      </c>
      <c r="M4743" s="339" t="s">
        <v>409</v>
      </c>
      <c r="N4743" s="338" t="s">
        <v>417</v>
      </c>
      <c r="O4743" s="338" t="s">
        <v>409</v>
      </c>
      <c r="P4743" s="338" t="s">
        <v>417</v>
      </c>
    </row>
    <row r="4744" spans="2:16" x14ac:dyDescent="0.25">
      <c r="B4744" s="336" t="s">
        <v>459</v>
      </c>
      <c r="C4744" s="337">
        <v>38411</v>
      </c>
      <c r="D4744" s="338" t="s">
        <v>948</v>
      </c>
      <c r="E4744" s="336" t="s">
        <v>985</v>
      </c>
      <c r="F4744" s="338"/>
      <c r="G4744" s="338">
        <v>30</v>
      </c>
      <c r="H4744" s="338" t="s">
        <v>425</v>
      </c>
      <c r="I4744" s="338" t="s">
        <v>411</v>
      </c>
      <c r="J4744" s="339"/>
      <c r="K4744" s="339"/>
      <c r="L4744" s="339" t="s">
        <v>409</v>
      </c>
      <c r="M4744" s="339" t="s">
        <v>409</v>
      </c>
      <c r="N4744" s="338" t="s">
        <v>417</v>
      </c>
      <c r="O4744" s="338" t="s">
        <v>409</v>
      </c>
      <c r="P4744" s="338"/>
    </row>
    <row r="4745" spans="2:16" x14ac:dyDescent="0.25">
      <c r="B4745" s="336" t="s">
        <v>416</v>
      </c>
      <c r="C4745" s="337">
        <v>38411</v>
      </c>
      <c r="D4745" s="338" t="s">
        <v>984</v>
      </c>
      <c r="E4745" s="336" t="s">
        <v>983</v>
      </c>
      <c r="F4745" s="338"/>
      <c r="G4745" s="338" t="s">
        <v>413</v>
      </c>
      <c r="H4745" s="338" t="s">
        <v>425</v>
      </c>
      <c r="I4745" s="338" t="s">
        <v>411</v>
      </c>
      <c r="J4745" s="339"/>
      <c r="K4745" s="339"/>
      <c r="L4745" s="339" t="s">
        <v>409</v>
      </c>
      <c r="M4745" s="339" t="s">
        <v>409</v>
      </c>
      <c r="N4745" s="338" t="s">
        <v>417</v>
      </c>
      <c r="O4745" s="338" t="s">
        <v>409</v>
      </c>
      <c r="P4745" s="338" t="s">
        <v>417</v>
      </c>
    </row>
    <row r="4746" spans="2:16" x14ac:dyDescent="0.25">
      <c r="B4746" s="336" t="s">
        <v>416</v>
      </c>
      <c r="C4746" s="337">
        <v>38411</v>
      </c>
      <c r="D4746" s="338" t="s">
        <v>982</v>
      </c>
      <c r="E4746" s="336" t="s">
        <v>831</v>
      </c>
      <c r="F4746" s="338"/>
      <c r="G4746" s="338" t="s">
        <v>413</v>
      </c>
      <c r="H4746" s="338" t="s">
        <v>412</v>
      </c>
      <c r="I4746" s="338" t="s">
        <v>411</v>
      </c>
      <c r="J4746" s="339"/>
      <c r="K4746" s="339"/>
      <c r="L4746" s="339" t="s">
        <v>409</v>
      </c>
      <c r="M4746" s="339" t="s">
        <v>409</v>
      </c>
      <c r="N4746" s="338" t="s">
        <v>417</v>
      </c>
      <c r="O4746" s="338" t="s">
        <v>409</v>
      </c>
      <c r="P4746" s="338" t="s">
        <v>417</v>
      </c>
    </row>
    <row r="4747" spans="2:16" x14ac:dyDescent="0.25">
      <c r="B4747" s="336" t="s">
        <v>416</v>
      </c>
      <c r="C4747" s="337">
        <v>38411</v>
      </c>
      <c r="D4747" s="338" t="s">
        <v>981</v>
      </c>
      <c r="E4747" s="336" t="s">
        <v>980</v>
      </c>
      <c r="F4747" s="338"/>
      <c r="G4747" s="338">
        <v>16567.98</v>
      </c>
      <c r="H4747" s="338" t="s">
        <v>429</v>
      </c>
      <c r="I4747" s="338" t="s">
        <v>411</v>
      </c>
      <c r="J4747" s="339">
        <v>1.19031</v>
      </c>
      <c r="K4747" s="339">
        <v>10.2965</v>
      </c>
      <c r="L4747" s="339" t="s">
        <v>409</v>
      </c>
      <c r="M4747" s="339" t="s">
        <v>409</v>
      </c>
      <c r="N4747" s="338" t="s">
        <v>417</v>
      </c>
      <c r="O4747" s="338" t="s">
        <v>409</v>
      </c>
      <c r="P4747" s="338" t="s">
        <v>417</v>
      </c>
    </row>
    <row r="4748" spans="2:16" x14ac:dyDescent="0.25">
      <c r="B4748" s="336" t="s">
        <v>416</v>
      </c>
      <c r="C4748" s="337">
        <v>38411</v>
      </c>
      <c r="D4748" s="338" t="s">
        <v>979</v>
      </c>
      <c r="E4748" s="336" t="s">
        <v>978</v>
      </c>
      <c r="F4748" s="338" t="s">
        <v>977</v>
      </c>
      <c r="G4748" s="338">
        <v>31</v>
      </c>
      <c r="H4748" s="338" t="s">
        <v>425</v>
      </c>
      <c r="I4748" s="338" t="s">
        <v>411</v>
      </c>
      <c r="J4748" s="339"/>
      <c r="K4748" s="339"/>
      <c r="L4748" s="339"/>
      <c r="M4748" s="339"/>
      <c r="N4748" s="338"/>
      <c r="O4748" s="338" t="s">
        <v>417</v>
      </c>
      <c r="P4748" s="338" t="s">
        <v>417</v>
      </c>
    </row>
    <row r="4749" spans="2:16" x14ac:dyDescent="0.25">
      <c r="B4749" s="336" t="s">
        <v>416</v>
      </c>
      <c r="C4749" s="337">
        <v>38411</v>
      </c>
      <c r="D4749" s="338" t="s">
        <v>976</v>
      </c>
      <c r="E4749" s="336" t="s">
        <v>825</v>
      </c>
      <c r="F4749" s="338"/>
      <c r="G4749" s="338" t="s">
        <v>413</v>
      </c>
      <c r="H4749" s="338" t="s">
        <v>412</v>
      </c>
      <c r="I4749" s="338" t="s">
        <v>411</v>
      </c>
      <c r="J4749" s="339"/>
      <c r="K4749" s="339"/>
      <c r="L4749" s="339" t="s">
        <v>409</v>
      </c>
      <c r="M4749" s="339" t="s">
        <v>409</v>
      </c>
      <c r="N4749" s="338" t="s">
        <v>417</v>
      </c>
      <c r="O4749" s="338" t="s">
        <v>409</v>
      </c>
      <c r="P4749" s="338" t="s">
        <v>417</v>
      </c>
    </row>
    <row r="4750" spans="2:16" x14ac:dyDescent="0.25">
      <c r="B4750" s="336" t="s">
        <v>541</v>
      </c>
      <c r="C4750" s="337">
        <v>38411</v>
      </c>
      <c r="D4750" s="338" t="s">
        <v>838</v>
      </c>
      <c r="E4750" s="336" t="s">
        <v>539</v>
      </c>
      <c r="F4750" s="338" t="s">
        <v>587</v>
      </c>
      <c r="G4750" s="338" t="s">
        <v>413</v>
      </c>
      <c r="H4750" s="338"/>
      <c r="I4750" s="338" t="s">
        <v>411</v>
      </c>
      <c r="J4750" s="339"/>
      <c r="K4750" s="339"/>
      <c r="L4750" s="339"/>
      <c r="M4750" s="339"/>
      <c r="N4750" s="338" t="s">
        <v>417</v>
      </c>
      <c r="O4750" s="338" t="s">
        <v>417</v>
      </c>
      <c r="P4750" s="338" t="s">
        <v>409</v>
      </c>
    </row>
    <row r="4751" spans="2:16" x14ac:dyDescent="0.25">
      <c r="B4751" s="336" t="s">
        <v>416</v>
      </c>
      <c r="C4751" s="337">
        <v>38411</v>
      </c>
      <c r="D4751" s="338" t="s">
        <v>975</v>
      </c>
      <c r="E4751" s="336" t="s">
        <v>898</v>
      </c>
      <c r="F4751" s="338" t="s">
        <v>974</v>
      </c>
      <c r="G4751" s="338">
        <v>6</v>
      </c>
      <c r="H4751" s="338" t="s">
        <v>425</v>
      </c>
      <c r="I4751" s="338" t="s">
        <v>411</v>
      </c>
      <c r="J4751" s="339"/>
      <c r="K4751" s="339"/>
      <c r="L4751" s="339">
        <v>0.51883900000000005</v>
      </c>
      <c r="M4751" s="339">
        <v>5.4384699999999997</v>
      </c>
      <c r="N4751" s="338"/>
      <c r="O4751" s="338" t="s">
        <v>410</v>
      </c>
      <c r="P4751" s="338" t="s">
        <v>417</v>
      </c>
    </row>
    <row r="4752" spans="2:16" x14ac:dyDescent="0.25">
      <c r="B4752" s="336" t="s">
        <v>416</v>
      </c>
      <c r="C4752" s="337">
        <v>38411</v>
      </c>
      <c r="D4752" s="338" t="s">
        <v>973</v>
      </c>
      <c r="E4752" s="336" t="s">
        <v>831</v>
      </c>
      <c r="F4752" s="338"/>
      <c r="G4752" s="338" t="s">
        <v>413</v>
      </c>
      <c r="H4752" s="338" t="s">
        <v>412</v>
      </c>
      <c r="I4752" s="338" t="s">
        <v>411</v>
      </c>
      <c r="J4752" s="339"/>
      <c r="K4752" s="339"/>
      <c r="L4752" s="339" t="s">
        <v>409</v>
      </c>
      <c r="M4752" s="339" t="s">
        <v>409</v>
      </c>
      <c r="N4752" s="338" t="s">
        <v>417</v>
      </c>
      <c r="O4752" s="338" t="s">
        <v>409</v>
      </c>
      <c r="P4752" s="338" t="s">
        <v>417</v>
      </c>
    </row>
    <row r="4753" spans="2:16" x14ac:dyDescent="0.25">
      <c r="B4753" s="336" t="s">
        <v>416</v>
      </c>
      <c r="C4753" s="337">
        <v>38408</v>
      </c>
      <c r="D4753" s="338" t="s">
        <v>972</v>
      </c>
      <c r="E4753" s="336" t="s">
        <v>971</v>
      </c>
      <c r="F4753" s="338"/>
      <c r="G4753" s="338" t="s">
        <v>413</v>
      </c>
      <c r="H4753" s="338" t="s">
        <v>336</v>
      </c>
      <c r="I4753" s="338" t="s">
        <v>411</v>
      </c>
      <c r="J4753" s="339"/>
      <c r="K4753" s="339"/>
      <c r="L4753" s="339" t="s">
        <v>409</v>
      </c>
      <c r="M4753" s="339" t="s">
        <v>409</v>
      </c>
      <c r="N4753" s="338" t="s">
        <v>417</v>
      </c>
      <c r="O4753" s="338" t="s">
        <v>409</v>
      </c>
      <c r="P4753" s="338" t="s">
        <v>410</v>
      </c>
    </row>
    <row r="4754" spans="2:16" x14ac:dyDescent="0.25">
      <c r="B4754" s="336" t="s">
        <v>416</v>
      </c>
      <c r="C4754" s="337">
        <v>38408</v>
      </c>
      <c r="D4754" s="338" t="s">
        <v>970</v>
      </c>
      <c r="E4754" s="336" t="s">
        <v>514</v>
      </c>
      <c r="F4754" s="338" t="s">
        <v>573</v>
      </c>
      <c r="G4754" s="338" t="s">
        <v>413</v>
      </c>
      <c r="H4754" s="338" t="s">
        <v>412</v>
      </c>
      <c r="I4754" s="338" t="s">
        <v>411</v>
      </c>
      <c r="J4754" s="339"/>
      <c r="K4754" s="339"/>
      <c r="L4754" s="339">
        <v>3.0509499999999998</v>
      </c>
      <c r="M4754" s="339">
        <v>11.4476</v>
      </c>
      <c r="N4754" s="338"/>
      <c r="O4754" s="338" t="s">
        <v>432</v>
      </c>
      <c r="P4754" s="338"/>
    </row>
    <row r="4755" spans="2:16" x14ac:dyDescent="0.25">
      <c r="B4755" s="336" t="s">
        <v>416</v>
      </c>
      <c r="C4755" s="337">
        <v>38407</v>
      </c>
      <c r="D4755" s="338" t="s">
        <v>969</v>
      </c>
      <c r="E4755" s="336" t="s">
        <v>968</v>
      </c>
      <c r="F4755" s="338"/>
      <c r="G4755" s="338" t="s">
        <v>413</v>
      </c>
      <c r="H4755" s="338" t="s">
        <v>412</v>
      </c>
      <c r="I4755" s="338" t="s">
        <v>411</v>
      </c>
      <c r="J4755" s="339"/>
      <c r="K4755" s="339"/>
      <c r="L4755" s="339" t="s">
        <v>409</v>
      </c>
      <c r="M4755" s="339" t="s">
        <v>409</v>
      </c>
      <c r="N4755" s="338" t="s">
        <v>417</v>
      </c>
      <c r="O4755" s="338" t="s">
        <v>409</v>
      </c>
      <c r="P4755" s="338"/>
    </row>
    <row r="4756" spans="2:16" x14ac:dyDescent="0.25">
      <c r="B4756" s="336" t="s">
        <v>416</v>
      </c>
      <c r="C4756" s="337">
        <v>38406</v>
      </c>
      <c r="D4756" s="338" t="s">
        <v>967</v>
      </c>
      <c r="E4756" s="336" t="s">
        <v>966</v>
      </c>
      <c r="F4756" s="338" t="s">
        <v>965</v>
      </c>
      <c r="G4756" s="338">
        <v>242</v>
      </c>
      <c r="H4756" s="338" t="s">
        <v>425</v>
      </c>
      <c r="I4756" s="338" t="s">
        <v>411</v>
      </c>
      <c r="J4756" s="339"/>
      <c r="K4756" s="339"/>
      <c r="L4756" s="339">
        <v>4.3944700000000001</v>
      </c>
      <c r="M4756" s="339">
        <v>5.6859500000000001</v>
      </c>
      <c r="N4756" s="338"/>
      <c r="O4756" s="338" t="s">
        <v>432</v>
      </c>
      <c r="P4756" s="338"/>
    </row>
    <row r="4757" spans="2:16" x14ac:dyDescent="0.25">
      <c r="B4757" s="336" t="s">
        <v>416</v>
      </c>
      <c r="C4757" s="337">
        <v>38406</v>
      </c>
      <c r="D4757" s="338" t="s">
        <v>964</v>
      </c>
      <c r="E4757" s="336" t="s">
        <v>963</v>
      </c>
      <c r="F4757" s="338" t="s">
        <v>962</v>
      </c>
      <c r="G4757" s="338">
        <v>11.97</v>
      </c>
      <c r="H4757" s="338" t="s">
        <v>336</v>
      </c>
      <c r="I4757" s="338" t="s">
        <v>411</v>
      </c>
      <c r="J4757" s="339"/>
      <c r="K4757" s="339"/>
      <c r="L4757" s="339">
        <v>1.59128</v>
      </c>
      <c r="M4757" s="339"/>
      <c r="N4757" s="338" t="s">
        <v>432</v>
      </c>
      <c r="O4757" s="338" t="s">
        <v>417</v>
      </c>
      <c r="P4757" s="338" t="s">
        <v>432</v>
      </c>
    </row>
    <row r="4758" spans="2:16" x14ac:dyDescent="0.25">
      <c r="B4758" s="336" t="s">
        <v>416</v>
      </c>
      <c r="C4758" s="337">
        <v>38406</v>
      </c>
      <c r="D4758" s="338" t="s">
        <v>961</v>
      </c>
      <c r="E4758" s="336" t="s">
        <v>960</v>
      </c>
      <c r="F4758" s="338" t="s">
        <v>959</v>
      </c>
      <c r="G4758" s="338">
        <v>29.95</v>
      </c>
      <c r="H4758" s="338" t="s">
        <v>418</v>
      </c>
      <c r="I4758" s="338" t="s">
        <v>411</v>
      </c>
      <c r="J4758" s="339"/>
      <c r="K4758" s="339"/>
      <c r="L4758" s="339">
        <v>0.22059000000000001</v>
      </c>
      <c r="M4758" s="339">
        <v>5.8988300000000002</v>
      </c>
      <c r="N4758" s="338"/>
      <c r="O4758" s="338" t="s">
        <v>443</v>
      </c>
      <c r="P4758" s="338" t="s">
        <v>443</v>
      </c>
    </row>
    <row r="4759" spans="2:16" x14ac:dyDescent="0.25">
      <c r="B4759" s="336" t="s">
        <v>541</v>
      </c>
      <c r="C4759" s="337">
        <v>38405</v>
      </c>
      <c r="D4759" s="338" t="s">
        <v>958</v>
      </c>
      <c r="E4759" s="336" t="s">
        <v>539</v>
      </c>
      <c r="F4759" s="338" t="s">
        <v>957</v>
      </c>
      <c r="G4759" s="338">
        <v>4.72</v>
      </c>
      <c r="H4759" s="338"/>
      <c r="I4759" s="338" t="s">
        <v>411</v>
      </c>
      <c r="J4759" s="339"/>
      <c r="K4759" s="339"/>
      <c r="L4759" s="339"/>
      <c r="M4759" s="339"/>
      <c r="N4759" s="338" t="s">
        <v>543</v>
      </c>
      <c r="O4759" s="338" t="s">
        <v>417</v>
      </c>
      <c r="P4759" s="338" t="s">
        <v>409</v>
      </c>
    </row>
    <row r="4760" spans="2:16" x14ac:dyDescent="0.25">
      <c r="B4760" s="336" t="s">
        <v>416</v>
      </c>
      <c r="C4760" s="337">
        <v>38405</v>
      </c>
      <c r="D4760" s="338" t="s">
        <v>956</v>
      </c>
      <c r="E4760" s="336" t="s">
        <v>955</v>
      </c>
      <c r="F4760" s="338"/>
      <c r="G4760" s="338">
        <v>63.42</v>
      </c>
      <c r="H4760" s="338" t="s">
        <v>429</v>
      </c>
      <c r="I4760" s="338" t="s">
        <v>411</v>
      </c>
      <c r="J4760" s="339"/>
      <c r="K4760" s="339"/>
      <c r="L4760" s="339" t="s">
        <v>409</v>
      </c>
      <c r="M4760" s="339" t="s">
        <v>409</v>
      </c>
      <c r="N4760" s="338"/>
      <c r="O4760" s="338" t="s">
        <v>409</v>
      </c>
      <c r="P4760" s="338" t="s">
        <v>482</v>
      </c>
    </row>
    <row r="4761" spans="2:16" x14ac:dyDescent="0.25">
      <c r="B4761" s="336" t="s">
        <v>416</v>
      </c>
      <c r="C4761" s="337">
        <v>38405</v>
      </c>
      <c r="D4761" s="338" t="s">
        <v>954</v>
      </c>
      <c r="E4761" s="336" t="s">
        <v>953</v>
      </c>
      <c r="F4761" s="338"/>
      <c r="G4761" s="338">
        <v>18.79</v>
      </c>
      <c r="H4761" s="338" t="s">
        <v>336</v>
      </c>
      <c r="I4761" s="338" t="s">
        <v>411</v>
      </c>
      <c r="J4761" s="339">
        <v>38.289499999999997</v>
      </c>
      <c r="K4761" s="339"/>
      <c r="L4761" s="339" t="s">
        <v>409</v>
      </c>
      <c r="M4761" s="339" t="s">
        <v>409</v>
      </c>
      <c r="N4761" s="338" t="s">
        <v>417</v>
      </c>
      <c r="O4761" s="338" t="s">
        <v>409</v>
      </c>
      <c r="P4761" s="338" t="s">
        <v>417</v>
      </c>
    </row>
    <row r="4762" spans="2:16" x14ac:dyDescent="0.25">
      <c r="B4762" s="336" t="s">
        <v>416</v>
      </c>
      <c r="C4762" s="337">
        <v>38405</v>
      </c>
      <c r="D4762" s="338" t="s">
        <v>952</v>
      </c>
      <c r="E4762" s="336" t="s">
        <v>951</v>
      </c>
      <c r="F4762" s="338" t="s">
        <v>950</v>
      </c>
      <c r="G4762" s="338">
        <v>1198.79</v>
      </c>
      <c r="H4762" s="338" t="s">
        <v>412</v>
      </c>
      <c r="I4762" s="338" t="s">
        <v>411</v>
      </c>
      <c r="J4762" s="339"/>
      <c r="K4762" s="339"/>
      <c r="L4762" s="339">
        <v>0.50285800000000003</v>
      </c>
      <c r="M4762" s="339">
        <v>5.1039399999999997</v>
      </c>
      <c r="N4762" s="338" t="s">
        <v>443</v>
      </c>
      <c r="O4762" s="338" t="s">
        <v>417</v>
      </c>
      <c r="P4762" s="338" t="s">
        <v>410</v>
      </c>
    </row>
    <row r="4763" spans="2:16" x14ac:dyDescent="0.25">
      <c r="B4763" s="336" t="s">
        <v>416</v>
      </c>
      <c r="C4763" s="337">
        <v>38404</v>
      </c>
      <c r="D4763" s="338" t="s">
        <v>949</v>
      </c>
      <c r="E4763" s="336" t="s">
        <v>948</v>
      </c>
      <c r="F4763" s="338"/>
      <c r="G4763" s="338" t="s">
        <v>413</v>
      </c>
      <c r="H4763" s="338" t="s">
        <v>412</v>
      </c>
      <c r="I4763" s="338" t="s">
        <v>411</v>
      </c>
      <c r="J4763" s="339"/>
      <c r="K4763" s="339"/>
      <c r="L4763" s="339" t="s">
        <v>409</v>
      </c>
      <c r="M4763" s="339" t="s">
        <v>409</v>
      </c>
      <c r="N4763" s="338" t="s">
        <v>417</v>
      </c>
      <c r="O4763" s="338" t="s">
        <v>409</v>
      </c>
      <c r="P4763" s="338" t="s">
        <v>417</v>
      </c>
    </row>
    <row r="4764" spans="2:16" x14ac:dyDescent="0.25">
      <c r="B4764" s="336" t="s">
        <v>416</v>
      </c>
      <c r="C4764" s="337">
        <v>38401</v>
      </c>
      <c r="D4764" s="338" t="s">
        <v>947</v>
      </c>
      <c r="E4764" s="336" t="s">
        <v>707</v>
      </c>
      <c r="F4764" s="338" t="s">
        <v>706</v>
      </c>
      <c r="G4764" s="338">
        <v>3.2</v>
      </c>
      <c r="H4764" s="338" t="s">
        <v>429</v>
      </c>
      <c r="I4764" s="338" t="s">
        <v>411</v>
      </c>
      <c r="J4764" s="339"/>
      <c r="K4764" s="339"/>
      <c r="L4764" s="339"/>
      <c r="M4764" s="339"/>
      <c r="N4764" s="338"/>
      <c r="O4764" s="338" t="s">
        <v>417</v>
      </c>
      <c r="P4764" s="338" t="s">
        <v>417</v>
      </c>
    </row>
    <row r="4765" spans="2:16" x14ac:dyDescent="0.25">
      <c r="B4765" s="336" t="s">
        <v>416</v>
      </c>
      <c r="C4765" s="337">
        <v>38401</v>
      </c>
      <c r="D4765" s="338" t="s">
        <v>946</v>
      </c>
      <c r="E4765" s="336" t="s">
        <v>714</v>
      </c>
      <c r="F4765" s="338"/>
      <c r="G4765" s="338" t="s">
        <v>413</v>
      </c>
      <c r="H4765" s="338" t="s">
        <v>412</v>
      </c>
      <c r="I4765" s="338" t="s">
        <v>411</v>
      </c>
      <c r="J4765" s="339"/>
      <c r="K4765" s="339"/>
      <c r="L4765" s="339" t="s">
        <v>409</v>
      </c>
      <c r="M4765" s="339" t="s">
        <v>409</v>
      </c>
      <c r="N4765" s="338" t="s">
        <v>417</v>
      </c>
      <c r="O4765" s="338" t="s">
        <v>409</v>
      </c>
      <c r="P4765" s="338" t="s">
        <v>417</v>
      </c>
    </row>
    <row r="4766" spans="2:16" x14ac:dyDescent="0.25">
      <c r="B4766" s="336" t="s">
        <v>416</v>
      </c>
      <c r="C4766" s="337">
        <v>38400</v>
      </c>
      <c r="D4766" s="338" t="s">
        <v>945</v>
      </c>
      <c r="E4766" s="336" t="s">
        <v>944</v>
      </c>
      <c r="F4766" s="338" t="s">
        <v>943</v>
      </c>
      <c r="G4766" s="338">
        <v>33</v>
      </c>
      <c r="H4766" s="338" t="s">
        <v>425</v>
      </c>
      <c r="I4766" s="338" t="s">
        <v>411</v>
      </c>
      <c r="J4766" s="339"/>
      <c r="K4766" s="339"/>
      <c r="L4766" s="339">
        <v>0.12123100000000001</v>
      </c>
      <c r="M4766" s="339"/>
      <c r="N4766" s="338"/>
      <c r="O4766" s="338" t="s">
        <v>417</v>
      </c>
      <c r="P4766" s="338" t="s">
        <v>417</v>
      </c>
    </row>
    <row r="4767" spans="2:16" x14ac:dyDescent="0.25">
      <c r="B4767" s="336" t="s">
        <v>416</v>
      </c>
      <c r="C4767" s="337">
        <v>38400</v>
      </c>
      <c r="D4767" s="338" t="s">
        <v>942</v>
      </c>
      <c r="E4767" s="336" t="s">
        <v>941</v>
      </c>
      <c r="F4767" s="338"/>
      <c r="G4767" s="338" t="s">
        <v>413</v>
      </c>
      <c r="H4767" s="338" t="s">
        <v>412</v>
      </c>
      <c r="I4767" s="338" t="s">
        <v>411</v>
      </c>
      <c r="J4767" s="339"/>
      <c r="K4767" s="339"/>
      <c r="L4767" s="339" t="s">
        <v>409</v>
      </c>
      <c r="M4767" s="339" t="s">
        <v>409</v>
      </c>
      <c r="N4767" s="338" t="s">
        <v>417</v>
      </c>
      <c r="O4767" s="338" t="s">
        <v>409</v>
      </c>
      <c r="P4767" s="338" t="s">
        <v>417</v>
      </c>
    </row>
    <row r="4768" spans="2:16" x14ac:dyDescent="0.25">
      <c r="B4768" s="336" t="s">
        <v>416</v>
      </c>
      <c r="C4768" s="337">
        <v>38399</v>
      </c>
      <c r="D4768" s="338" t="s">
        <v>940</v>
      </c>
      <c r="E4768" s="336" t="s">
        <v>939</v>
      </c>
      <c r="F4768" s="338" t="s">
        <v>938</v>
      </c>
      <c r="G4768" s="338">
        <v>8.5</v>
      </c>
      <c r="H4768" s="338" t="s">
        <v>425</v>
      </c>
      <c r="I4768" s="338" t="s">
        <v>411</v>
      </c>
      <c r="J4768" s="339"/>
      <c r="K4768" s="339"/>
      <c r="L4768" s="339">
        <v>0.23078000000000001</v>
      </c>
      <c r="M4768" s="339">
        <v>14.2521</v>
      </c>
      <c r="N4768" s="338" t="s">
        <v>417</v>
      </c>
      <c r="O4768" s="338" t="s">
        <v>417</v>
      </c>
      <c r="P4768" s="338"/>
    </row>
    <row r="4769" spans="2:16" x14ac:dyDescent="0.25">
      <c r="B4769" s="336" t="s">
        <v>416</v>
      </c>
      <c r="C4769" s="337">
        <v>38398</v>
      </c>
      <c r="D4769" s="338" t="s">
        <v>937</v>
      </c>
      <c r="E4769" s="336" t="s">
        <v>936</v>
      </c>
      <c r="F4769" s="338"/>
      <c r="G4769" s="338">
        <v>24.19</v>
      </c>
      <c r="H4769" s="338" t="s">
        <v>425</v>
      </c>
      <c r="I4769" s="338" t="s">
        <v>411</v>
      </c>
      <c r="J4769" s="339">
        <v>0.35528500000000002</v>
      </c>
      <c r="K4769" s="339"/>
      <c r="L4769" s="339" t="s">
        <v>409</v>
      </c>
      <c r="M4769" s="339" t="s">
        <v>409</v>
      </c>
      <c r="N4769" s="338" t="s">
        <v>432</v>
      </c>
      <c r="O4769" s="338" t="s">
        <v>409</v>
      </c>
      <c r="P4769" s="338" t="s">
        <v>432</v>
      </c>
    </row>
    <row r="4770" spans="2:16" x14ac:dyDescent="0.25">
      <c r="B4770" s="336" t="s">
        <v>459</v>
      </c>
      <c r="C4770" s="337">
        <v>38398</v>
      </c>
      <c r="D4770" s="338" t="s">
        <v>935</v>
      </c>
      <c r="E4770" s="336" t="s">
        <v>934</v>
      </c>
      <c r="F4770" s="338"/>
      <c r="G4770" s="338" t="s">
        <v>413</v>
      </c>
      <c r="H4770" s="338" t="s">
        <v>412</v>
      </c>
      <c r="I4770" s="338" t="s">
        <v>411</v>
      </c>
      <c r="J4770" s="339"/>
      <c r="K4770" s="339"/>
      <c r="L4770" s="339" t="s">
        <v>409</v>
      </c>
      <c r="M4770" s="339" t="s">
        <v>409</v>
      </c>
      <c r="N4770" s="338" t="s">
        <v>417</v>
      </c>
      <c r="O4770" s="338" t="s">
        <v>409</v>
      </c>
      <c r="P4770" s="338" t="s">
        <v>417</v>
      </c>
    </row>
    <row r="4771" spans="2:16" x14ac:dyDescent="0.25">
      <c r="B4771" s="336" t="s">
        <v>416</v>
      </c>
      <c r="C4771" s="337">
        <v>38398</v>
      </c>
      <c r="D4771" s="338" t="s">
        <v>933</v>
      </c>
      <c r="E4771" s="336" t="s">
        <v>514</v>
      </c>
      <c r="F4771" s="338"/>
      <c r="G4771" s="338">
        <v>600</v>
      </c>
      <c r="H4771" s="338" t="s">
        <v>425</v>
      </c>
      <c r="I4771" s="338" t="s">
        <v>411</v>
      </c>
      <c r="J4771" s="339"/>
      <c r="K4771" s="339"/>
      <c r="L4771" s="339" t="s">
        <v>409</v>
      </c>
      <c r="M4771" s="339" t="s">
        <v>409</v>
      </c>
      <c r="N4771" s="338" t="s">
        <v>417</v>
      </c>
      <c r="O4771" s="338" t="s">
        <v>409</v>
      </c>
      <c r="P4771" s="338"/>
    </row>
    <row r="4772" spans="2:16" x14ac:dyDescent="0.25">
      <c r="B4772" s="336" t="s">
        <v>416</v>
      </c>
      <c r="C4772" s="337">
        <v>38398</v>
      </c>
      <c r="D4772" s="338" t="s">
        <v>932</v>
      </c>
      <c r="E4772" s="336" t="s">
        <v>485</v>
      </c>
      <c r="F4772" s="338"/>
      <c r="G4772" s="338">
        <v>1</v>
      </c>
      <c r="H4772" s="338" t="s">
        <v>696</v>
      </c>
      <c r="I4772" s="338" t="s">
        <v>411</v>
      </c>
      <c r="J4772" s="339"/>
      <c r="K4772" s="339"/>
      <c r="L4772" s="339" t="s">
        <v>409</v>
      </c>
      <c r="M4772" s="339" t="s">
        <v>409</v>
      </c>
      <c r="N4772" s="338" t="s">
        <v>543</v>
      </c>
      <c r="O4772" s="338" t="s">
        <v>409</v>
      </c>
      <c r="P4772" s="338" t="s">
        <v>417</v>
      </c>
    </row>
    <row r="4773" spans="2:16" x14ac:dyDescent="0.25">
      <c r="B4773" s="336" t="s">
        <v>416</v>
      </c>
      <c r="C4773" s="337">
        <v>38397</v>
      </c>
      <c r="D4773" s="338" t="s">
        <v>931</v>
      </c>
      <c r="E4773" s="336" t="s">
        <v>930</v>
      </c>
      <c r="F4773" s="338"/>
      <c r="G4773" s="338">
        <v>75</v>
      </c>
      <c r="H4773" s="338" t="s">
        <v>425</v>
      </c>
      <c r="I4773" s="338" t="s">
        <v>411</v>
      </c>
      <c r="J4773" s="339"/>
      <c r="K4773" s="339"/>
      <c r="L4773" s="339" t="s">
        <v>409</v>
      </c>
      <c r="M4773" s="339" t="s">
        <v>409</v>
      </c>
      <c r="N4773" s="338" t="s">
        <v>417</v>
      </c>
      <c r="O4773" s="338" t="s">
        <v>409</v>
      </c>
      <c r="P4773" s="338" t="s">
        <v>443</v>
      </c>
    </row>
    <row r="4774" spans="2:16" x14ac:dyDescent="0.25">
      <c r="B4774" s="336" t="s">
        <v>416</v>
      </c>
      <c r="C4774" s="337">
        <v>38392</v>
      </c>
      <c r="D4774" s="338" t="s">
        <v>929</v>
      </c>
      <c r="E4774" s="336" t="s">
        <v>928</v>
      </c>
      <c r="F4774" s="338"/>
      <c r="G4774" s="338">
        <v>98</v>
      </c>
      <c r="H4774" s="338" t="s">
        <v>425</v>
      </c>
      <c r="I4774" s="338" t="s">
        <v>411</v>
      </c>
      <c r="J4774" s="339"/>
      <c r="K4774" s="339"/>
      <c r="L4774" s="339" t="s">
        <v>409</v>
      </c>
      <c r="M4774" s="339" t="s">
        <v>409</v>
      </c>
      <c r="N4774" s="338" t="s">
        <v>417</v>
      </c>
      <c r="O4774" s="338" t="s">
        <v>409</v>
      </c>
      <c r="P4774" s="338" t="s">
        <v>417</v>
      </c>
    </row>
    <row r="4775" spans="2:16" x14ac:dyDescent="0.25">
      <c r="B4775" s="336" t="s">
        <v>416</v>
      </c>
      <c r="C4775" s="337">
        <v>38392</v>
      </c>
      <c r="D4775" s="338" t="s">
        <v>927</v>
      </c>
      <c r="E4775" s="336" t="s">
        <v>926</v>
      </c>
      <c r="F4775" s="338" t="s">
        <v>925</v>
      </c>
      <c r="G4775" s="338">
        <v>67.3</v>
      </c>
      <c r="H4775" s="338" t="s">
        <v>425</v>
      </c>
      <c r="I4775" s="338" t="s">
        <v>411</v>
      </c>
      <c r="J4775" s="339"/>
      <c r="K4775" s="339"/>
      <c r="L4775" s="339">
        <v>0.45242500000000002</v>
      </c>
      <c r="M4775" s="339">
        <v>8.8139199999999995</v>
      </c>
      <c r="N4775" s="338"/>
      <c r="O4775" s="338" t="s">
        <v>417</v>
      </c>
      <c r="P4775" s="338" t="s">
        <v>443</v>
      </c>
    </row>
    <row r="4776" spans="2:16" x14ac:dyDescent="0.25">
      <c r="B4776" s="336" t="s">
        <v>416</v>
      </c>
      <c r="C4776" s="337">
        <v>38391</v>
      </c>
      <c r="D4776" s="338" t="s">
        <v>924</v>
      </c>
      <c r="E4776" s="336" t="s">
        <v>923</v>
      </c>
      <c r="F4776" s="338" t="s">
        <v>922</v>
      </c>
      <c r="G4776" s="338">
        <v>454.65</v>
      </c>
      <c r="H4776" s="338" t="s">
        <v>418</v>
      </c>
      <c r="I4776" s="338" t="s">
        <v>411</v>
      </c>
      <c r="J4776" s="339"/>
      <c r="K4776" s="339"/>
      <c r="L4776" s="339">
        <v>2.0158299999999998</v>
      </c>
      <c r="M4776" s="339">
        <v>3.8155100000000002</v>
      </c>
      <c r="N4776" s="338" t="s">
        <v>417</v>
      </c>
      <c r="O4776" s="338" t="s">
        <v>417</v>
      </c>
      <c r="P4776" s="338" t="s">
        <v>543</v>
      </c>
    </row>
    <row r="4777" spans="2:16" x14ac:dyDescent="0.25">
      <c r="B4777" s="336" t="s">
        <v>416</v>
      </c>
      <c r="C4777" s="337">
        <v>38391</v>
      </c>
      <c r="D4777" s="338" t="s">
        <v>921</v>
      </c>
      <c r="E4777" s="336" t="s">
        <v>920</v>
      </c>
      <c r="F4777" s="338"/>
      <c r="G4777" s="338" t="s">
        <v>413</v>
      </c>
      <c r="H4777" s="338" t="s">
        <v>412</v>
      </c>
      <c r="I4777" s="338" t="s">
        <v>411</v>
      </c>
      <c r="J4777" s="339"/>
      <c r="K4777" s="339"/>
      <c r="L4777" s="339" t="s">
        <v>409</v>
      </c>
      <c r="M4777" s="339" t="s">
        <v>409</v>
      </c>
      <c r="N4777" s="338" t="s">
        <v>417</v>
      </c>
      <c r="O4777" s="338" t="s">
        <v>409</v>
      </c>
      <c r="P4777" s="338" t="s">
        <v>410</v>
      </c>
    </row>
    <row r="4778" spans="2:16" x14ac:dyDescent="0.25">
      <c r="B4778" s="336" t="s">
        <v>416</v>
      </c>
      <c r="C4778" s="337">
        <v>38390</v>
      </c>
      <c r="D4778" s="338" t="s">
        <v>919</v>
      </c>
      <c r="E4778" s="336" t="s">
        <v>918</v>
      </c>
      <c r="F4778" s="338"/>
      <c r="G4778" s="338" t="s">
        <v>413</v>
      </c>
      <c r="H4778" s="338" t="s">
        <v>425</v>
      </c>
      <c r="I4778" s="338" t="s">
        <v>411</v>
      </c>
      <c r="J4778" s="339">
        <v>0.399476</v>
      </c>
      <c r="K4778" s="339"/>
      <c r="L4778" s="339" t="s">
        <v>409</v>
      </c>
      <c r="M4778" s="339" t="s">
        <v>409</v>
      </c>
      <c r="N4778" s="338" t="s">
        <v>417</v>
      </c>
      <c r="O4778" s="338" t="s">
        <v>409</v>
      </c>
      <c r="P4778" s="338" t="s">
        <v>443</v>
      </c>
    </row>
    <row r="4779" spans="2:16" x14ac:dyDescent="0.25">
      <c r="B4779" s="336" t="s">
        <v>416</v>
      </c>
      <c r="C4779" s="337">
        <v>38387</v>
      </c>
      <c r="D4779" s="338" t="s">
        <v>917</v>
      </c>
      <c r="E4779" s="336" t="s">
        <v>916</v>
      </c>
      <c r="F4779" s="338" t="s">
        <v>915</v>
      </c>
      <c r="G4779" s="338">
        <v>295</v>
      </c>
      <c r="H4779" s="338" t="s">
        <v>425</v>
      </c>
      <c r="I4779" s="338" t="s">
        <v>411</v>
      </c>
      <c r="J4779" s="339"/>
      <c r="K4779" s="339"/>
      <c r="L4779" s="339"/>
      <c r="M4779" s="339"/>
      <c r="N4779" s="338"/>
      <c r="O4779" s="338" t="s">
        <v>417</v>
      </c>
      <c r="P4779" s="338" t="s">
        <v>417</v>
      </c>
    </row>
    <row r="4780" spans="2:16" x14ac:dyDescent="0.25">
      <c r="B4780" s="336" t="s">
        <v>416</v>
      </c>
      <c r="C4780" s="337">
        <v>38386</v>
      </c>
      <c r="D4780" s="338" t="s">
        <v>914</v>
      </c>
      <c r="E4780" s="336" t="s">
        <v>441</v>
      </c>
      <c r="F4780" s="338" t="s">
        <v>913</v>
      </c>
      <c r="G4780" s="338" t="s">
        <v>413</v>
      </c>
      <c r="H4780" s="338" t="s">
        <v>412</v>
      </c>
      <c r="I4780" s="338" t="s">
        <v>411</v>
      </c>
      <c r="J4780" s="339"/>
      <c r="K4780" s="339"/>
      <c r="L4780" s="339"/>
      <c r="M4780" s="339"/>
      <c r="N4780" s="338"/>
      <c r="O4780" s="338" t="s">
        <v>443</v>
      </c>
      <c r="P4780" s="338" t="s">
        <v>417</v>
      </c>
    </row>
    <row r="4781" spans="2:16" x14ac:dyDescent="0.25">
      <c r="B4781" s="336" t="s">
        <v>416</v>
      </c>
      <c r="C4781" s="337">
        <v>38386</v>
      </c>
      <c r="D4781" s="338" t="s">
        <v>912</v>
      </c>
      <c r="E4781" s="336" t="s">
        <v>553</v>
      </c>
      <c r="F4781" s="338"/>
      <c r="G4781" s="338">
        <v>69.209999999999994</v>
      </c>
      <c r="H4781" s="338" t="s">
        <v>425</v>
      </c>
      <c r="I4781" s="338" t="s">
        <v>411</v>
      </c>
      <c r="J4781" s="339"/>
      <c r="K4781" s="339"/>
      <c r="L4781" s="339" t="s">
        <v>409</v>
      </c>
      <c r="M4781" s="339" t="s">
        <v>409</v>
      </c>
      <c r="N4781" s="338" t="s">
        <v>417</v>
      </c>
      <c r="O4781" s="338" t="s">
        <v>409</v>
      </c>
      <c r="P4781" s="338" t="s">
        <v>443</v>
      </c>
    </row>
    <row r="4782" spans="2:16" x14ac:dyDescent="0.25">
      <c r="B4782" s="336" t="s">
        <v>416</v>
      </c>
      <c r="C4782" s="337">
        <v>38385</v>
      </c>
      <c r="D4782" s="338" t="s">
        <v>911</v>
      </c>
      <c r="E4782" s="336" t="s">
        <v>910</v>
      </c>
      <c r="F4782" s="338"/>
      <c r="G4782" s="338" t="s">
        <v>413</v>
      </c>
      <c r="H4782" s="338" t="s">
        <v>412</v>
      </c>
      <c r="I4782" s="338" t="s">
        <v>411</v>
      </c>
      <c r="J4782" s="339"/>
      <c r="K4782" s="339"/>
      <c r="L4782" s="339" t="s">
        <v>409</v>
      </c>
      <c r="M4782" s="339" t="s">
        <v>409</v>
      </c>
      <c r="N4782" s="338" t="s">
        <v>417</v>
      </c>
      <c r="O4782" s="338" t="s">
        <v>409</v>
      </c>
      <c r="P4782" s="338" t="s">
        <v>417</v>
      </c>
    </row>
    <row r="4783" spans="2:16" x14ac:dyDescent="0.25">
      <c r="B4783" s="336" t="s">
        <v>416</v>
      </c>
      <c r="C4783" s="337">
        <v>38385</v>
      </c>
      <c r="D4783" s="338" t="s">
        <v>909</v>
      </c>
      <c r="E4783" s="336" t="s">
        <v>908</v>
      </c>
      <c r="F4783" s="338"/>
      <c r="G4783" s="338" t="s">
        <v>413</v>
      </c>
      <c r="H4783" s="338" t="s">
        <v>412</v>
      </c>
      <c r="I4783" s="338" t="s">
        <v>411</v>
      </c>
      <c r="J4783" s="339"/>
      <c r="K4783" s="339"/>
      <c r="L4783" s="339" t="s">
        <v>409</v>
      </c>
      <c r="M4783" s="339" t="s">
        <v>409</v>
      </c>
      <c r="N4783" s="338" t="s">
        <v>417</v>
      </c>
      <c r="O4783" s="338" t="s">
        <v>409</v>
      </c>
      <c r="P4783" s="338" t="s">
        <v>417</v>
      </c>
    </row>
    <row r="4784" spans="2:16" x14ac:dyDescent="0.25">
      <c r="B4784" s="336" t="s">
        <v>416</v>
      </c>
      <c r="C4784" s="337">
        <v>38385</v>
      </c>
      <c r="D4784" s="338" t="s">
        <v>907</v>
      </c>
      <c r="E4784" s="336" t="s">
        <v>598</v>
      </c>
      <c r="F4784" s="338"/>
      <c r="G4784" s="338" t="s">
        <v>413</v>
      </c>
      <c r="H4784" s="338" t="s">
        <v>412</v>
      </c>
      <c r="I4784" s="338" t="s">
        <v>411</v>
      </c>
      <c r="J4784" s="339"/>
      <c r="K4784" s="339"/>
      <c r="L4784" s="339" t="s">
        <v>409</v>
      </c>
      <c r="M4784" s="339" t="s">
        <v>409</v>
      </c>
      <c r="N4784" s="338"/>
      <c r="O4784" s="338" t="s">
        <v>409</v>
      </c>
      <c r="P4784" s="338" t="s">
        <v>417</v>
      </c>
    </row>
    <row r="4785" spans="2:16" x14ac:dyDescent="0.25">
      <c r="B4785" s="336" t="s">
        <v>416</v>
      </c>
      <c r="C4785" s="337">
        <v>38385</v>
      </c>
      <c r="D4785" s="338" t="s">
        <v>906</v>
      </c>
      <c r="E4785" s="336" t="s">
        <v>905</v>
      </c>
      <c r="F4785" s="338"/>
      <c r="G4785" s="338" t="s">
        <v>413</v>
      </c>
      <c r="H4785" s="338" t="s">
        <v>412</v>
      </c>
      <c r="I4785" s="338" t="s">
        <v>411</v>
      </c>
      <c r="J4785" s="339"/>
      <c r="K4785" s="339"/>
      <c r="L4785" s="339" t="s">
        <v>409</v>
      </c>
      <c r="M4785" s="339" t="s">
        <v>409</v>
      </c>
      <c r="N4785" s="338"/>
      <c r="O4785" s="338" t="s">
        <v>409</v>
      </c>
      <c r="P4785" s="338" t="s">
        <v>417</v>
      </c>
    </row>
    <row r="4786" spans="2:16" x14ac:dyDescent="0.25">
      <c r="B4786" s="336" t="s">
        <v>416</v>
      </c>
      <c r="C4786" s="337">
        <v>38385</v>
      </c>
      <c r="D4786" s="338" t="s">
        <v>904</v>
      </c>
      <c r="E4786" s="336" t="s">
        <v>544</v>
      </c>
      <c r="F4786" s="338"/>
      <c r="G4786" s="338" t="s">
        <v>413</v>
      </c>
      <c r="H4786" s="338" t="s">
        <v>412</v>
      </c>
      <c r="I4786" s="338" t="s">
        <v>411</v>
      </c>
      <c r="J4786" s="339"/>
      <c r="K4786" s="339"/>
      <c r="L4786" s="339" t="s">
        <v>409</v>
      </c>
      <c r="M4786" s="339" t="s">
        <v>409</v>
      </c>
      <c r="N4786" s="338" t="s">
        <v>417</v>
      </c>
      <c r="O4786" s="338" t="s">
        <v>409</v>
      </c>
      <c r="P4786" s="338" t="s">
        <v>543</v>
      </c>
    </row>
    <row r="4787" spans="2:16" x14ac:dyDescent="0.25">
      <c r="B4787" s="336" t="s">
        <v>416</v>
      </c>
      <c r="C4787" s="337">
        <v>38384</v>
      </c>
      <c r="D4787" s="338" t="s">
        <v>903</v>
      </c>
      <c r="E4787" s="336" t="s">
        <v>902</v>
      </c>
      <c r="F4787" s="338"/>
      <c r="G4787" s="338" t="s">
        <v>413</v>
      </c>
      <c r="H4787" s="338" t="s">
        <v>412</v>
      </c>
      <c r="I4787" s="338" t="s">
        <v>411</v>
      </c>
      <c r="J4787" s="339"/>
      <c r="K4787" s="339"/>
      <c r="L4787" s="339" t="s">
        <v>409</v>
      </c>
      <c r="M4787" s="339" t="s">
        <v>409</v>
      </c>
      <c r="N4787" s="338"/>
      <c r="O4787" s="338" t="s">
        <v>409</v>
      </c>
      <c r="P4787" s="338" t="s">
        <v>417</v>
      </c>
    </row>
    <row r="4788" spans="2:16" x14ac:dyDescent="0.25">
      <c r="B4788" s="336" t="s">
        <v>416</v>
      </c>
      <c r="C4788" s="337">
        <v>38383</v>
      </c>
      <c r="D4788" s="338" t="s">
        <v>901</v>
      </c>
      <c r="E4788" s="336" t="s">
        <v>900</v>
      </c>
      <c r="F4788" s="338"/>
      <c r="G4788" s="338">
        <v>7.7</v>
      </c>
      <c r="H4788" s="338" t="s">
        <v>418</v>
      </c>
      <c r="I4788" s="338" t="s">
        <v>411</v>
      </c>
      <c r="J4788" s="339"/>
      <c r="K4788" s="339"/>
      <c r="L4788" s="339" t="s">
        <v>409</v>
      </c>
      <c r="M4788" s="339" t="s">
        <v>409</v>
      </c>
      <c r="N4788" s="338" t="s">
        <v>417</v>
      </c>
      <c r="O4788" s="338" t="s">
        <v>409</v>
      </c>
      <c r="P4788" s="338" t="s">
        <v>417</v>
      </c>
    </row>
    <row r="4789" spans="2:16" x14ac:dyDescent="0.25">
      <c r="B4789" s="336" t="s">
        <v>416</v>
      </c>
      <c r="C4789" s="337">
        <v>38383</v>
      </c>
      <c r="D4789" s="338" t="s">
        <v>899</v>
      </c>
      <c r="E4789" s="336" t="s">
        <v>898</v>
      </c>
      <c r="F4789" s="338" t="s">
        <v>897</v>
      </c>
      <c r="G4789" s="338">
        <v>6</v>
      </c>
      <c r="H4789" s="338" t="s">
        <v>425</v>
      </c>
      <c r="I4789" s="338" t="s">
        <v>411</v>
      </c>
      <c r="J4789" s="339"/>
      <c r="K4789" s="339"/>
      <c r="L4789" s="339">
        <v>1.3116399999999999</v>
      </c>
      <c r="M4789" s="339">
        <v>10.9526</v>
      </c>
      <c r="N4789" s="338"/>
      <c r="O4789" s="338" t="s">
        <v>487</v>
      </c>
      <c r="P4789" s="338" t="s">
        <v>417</v>
      </c>
    </row>
    <row r="4790" spans="2:16" x14ac:dyDescent="0.25">
      <c r="B4790" s="336" t="s">
        <v>416</v>
      </c>
      <c r="C4790" s="337">
        <v>38383</v>
      </c>
      <c r="D4790" s="338" t="s">
        <v>896</v>
      </c>
      <c r="E4790" s="336" t="s">
        <v>895</v>
      </c>
      <c r="F4790" s="338"/>
      <c r="G4790" s="338" t="s">
        <v>413</v>
      </c>
      <c r="H4790" s="338" t="s">
        <v>412</v>
      </c>
      <c r="I4790" s="338" t="s">
        <v>411</v>
      </c>
      <c r="J4790" s="339"/>
      <c r="K4790" s="339"/>
      <c r="L4790" s="339" t="s">
        <v>409</v>
      </c>
      <c r="M4790" s="339" t="s">
        <v>409</v>
      </c>
      <c r="N4790" s="338" t="s">
        <v>417</v>
      </c>
      <c r="O4790" s="338" t="s">
        <v>409</v>
      </c>
      <c r="P4790" s="338" t="s">
        <v>443</v>
      </c>
    </row>
    <row r="4791" spans="2:16" x14ac:dyDescent="0.25">
      <c r="B4791" s="336" t="s">
        <v>416</v>
      </c>
      <c r="C4791" s="337">
        <v>38383</v>
      </c>
      <c r="D4791" s="338" t="s">
        <v>894</v>
      </c>
      <c r="E4791" s="336" t="s">
        <v>831</v>
      </c>
      <c r="F4791" s="338" t="s">
        <v>893</v>
      </c>
      <c r="G4791" s="338" t="s">
        <v>413</v>
      </c>
      <c r="H4791" s="338" t="s">
        <v>412</v>
      </c>
      <c r="I4791" s="338" t="s">
        <v>411</v>
      </c>
      <c r="J4791" s="339"/>
      <c r="K4791" s="339"/>
      <c r="L4791" s="339"/>
      <c r="M4791" s="339"/>
      <c r="N4791" s="338"/>
      <c r="O4791" s="338" t="s">
        <v>443</v>
      </c>
      <c r="P4791" s="338" t="s">
        <v>417</v>
      </c>
    </row>
    <row r="4792" spans="2:16" x14ac:dyDescent="0.25">
      <c r="B4792" s="336" t="s">
        <v>416</v>
      </c>
      <c r="C4792" s="337">
        <v>38383</v>
      </c>
      <c r="D4792" s="338" t="s">
        <v>892</v>
      </c>
      <c r="E4792" s="336" t="s">
        <v>891</v>
      </c>
      <c r="F4792" s="338"/>
      <c r="G4792" s="338" t="s">
        <v>413</v>
      </c>
      <c r="H4792" s="338" t="s">
        <v>412</v>
      </c>
      <c r="I4792" s="338" t="s">
        <v>411</v>
      </c>
      <c r="J4792" s="339"/>
      <c r="K4792" s="339"/>
      <c r="L4792" s="339" t="s">
        <v>409</v>
      </c>
      <c r="M4792" s="339" t="s">
        <v>409</v>
      </c>
      <c r="N4792" s="338" t="s">
        <v>417</v>
      </c>
      <c r="O4792" s="338" t="s">
        <v>409</v>
      </c>
      <c r="P4792" s="338" t="s">
        <v>410</v>
      </c>
    </row>
    <row r="4793" spans="2:16" x14ac:dyDescent="0.25">
      <c r="B4793" s="336" t="s">
        <v>416</v>
      </c>
      <c r="C4793" s="337">
        <v>38380</v>
      </c>
      <c r="D4793" s="338" t="s">
        <v>890</v>
      </c>
      <c r="E4793" s="336" t="s">
        <v>889</v>
      </c>
      <c r="F4793" s="338"/>
      <c r="G4793" s="338">
        <v>57278.559999999998</v>
      </c>
      <c r="H4793" s="338" t="s">
        <v>336</v>
      </c>
      <c r="I4793" s="338" t="s">
        <v>411</v>
      </c>
      <c r="J4793" s="339">
        <v>4.7014699999999996</v>
      </c>
      <c r="K4793" s="339">
        <v>15.994400000000001</v>
      </c>
      <c r="L4793" s="339" t="s">
        <v>409</v>
      </c>
      <c r="M4793" s="339" t="s">
        <v>409</v>
      </c>
      <c r="N4793" s="338" t="s">
        <v>410</v>
      </c>
      <c r="O4793" s="338" t="s">
        <v>409</v>
      </c>
      <c r="P4793" s="338" t="s">
        <v>410</v>
      </c>
    </row>
    <row r="4794" spans="2:16" x14ac:dyDescent="0.25">
      <c r="B4794" s="336" t="s">
        <v>416</v>
      </c>
      <c r="C4794" s="337">
        <v>38378</v>
      </c>
      <c r="D4794" s="338" t="s">
        <v>888</v>
      </c>
      <c r="E4794" s="336" t="s">
        <v>887</v>
      </c>
      <c r="F4794" s="338" t="s">
        <v>886</v>
      </c>
      <c r="G4794" s="338" t="s">
        <v>413</v>
      </c>
      <c r="H4794" s="338" t="s">
        <v>412</v>
      </c>
      <c r="I4794" s="338" t="s">
        <v>411</v>
      </c>
      <c r="J4794" s="339"/>
      <c r="K4794" s="339"/>
      <c r="L4794" s="339"/>
      <c r="M4794" s="339"/>
      <c r="N4794" s="338"/>
      <c r="O4794" s="338" t="s">
        <v>885</v>
      </c>
      <c r="P4794" s="338" t="s">
        <v>410</v>
      </c>
    </row>
    <row r="4795" spans="2:16" x14ac:dyDescent="0.25">
      <c r="B4795" s="336" t="s">
        <v>416</v>
      </c>
      <c r="C4795" s="337">
        <v>38377</v>
      </c>
      <c r="D4795" s="338" t="s">
        <v>884</v>
      </c>
      <c r="E4795" s="336" t="s">
        <v>883</v>
      </c>
      <c r="F4795" s="338"/>
      <c r="G4795" s="338" t="s">
        <v>413</v>
      </c>
      <c r="H4795" s="338" t="s">
        <v>412</v>
      </c>
      <c r="I4795" s="338" t="s">
        <v>411</v>
      </c>
      <c r="J4795" s="339"/>
      <c r="K4795" s="339"/>
      <c r="L4795" s="339" t="s">
        <v>409</v>
      </c>
      <c r="M4795" s="339" t="s">
        <v>409</v>
      </c>
      <c r="N4795" s="338" t="s">
        <v>417</v>
      </c>
      <c r="O4795" s="338" t="s">
        <v>409</v>
      </c>
      <c r="P4795" s="338" t="s">
        <v>417</v>
      </c>
    </row>
    <row r="4796" spans="2:16" x14ac:dyDescent="0.25">
      <c r="B4796" s="336" t="s">
        <v>416</v>
      </c>
      <c r="C4796" s="337">
        <v>38376</v>
      </c>
      <c r="D4796" s="338" t="s">
        <v>882</v>
      </c>
      <c r="E4796" s="336" t="s">
        <v>881</v>
      </c>
      <c r="F4796" s="338" t="s">
        <v>880</v>
      </c>
      <c r="G4796" s="338">
        <v>12</v>
      </c>
      <c r="H4796" s="338" t="s">
        <v>507</v>
      </c>
      <c r="I4796" s="338" t="s">
        <v>411</v>
      </c>
      <c r="J4796" s="339"/>
      <c r="K4796" s="339"/>
      <c r="L4796" s="339">
        <v>0.56161799999999995</v>
      </c>
      <c r="M4796" s="339">
        <v>11.3645</v>
      </c>
      <c r="N4796" s="338" t="s">
        <v>417</v>
      </c>
      <c r="O4796" s="338" t="s">
        <v>417</v>
      </c>
      <c r="P4796" s="338" t="s">
        <v>605</v>
      </c>
    </row>
    <row r="4797" spans="2:16" x14ac:dyDescent="0.25">
      <c r="B4797" s="336" t="s">
        <v>416</v>
      </c>
      <c r="C4797" s="337">
        <v>38376</v>
      </c>
      <c r="D4797" s="338" t="s">
        <v>879</v>
      </c>
      <c r="E4797" s="336" t="s">
        <v>653</v>
      </c>
      <c r="F4797" s="338"/>
      <c r="G4797" s="338" t="s">
        <v>413</v>
      </c>
      <c r="H4797" s="338" t="s">
        <v>412</v>
      </c>
      <c r="I4797" s="338" t="s">
        <v>411</v>
      </c>
      <c r="J4797" s="339"/>
      <c r="K4797" s="339"/>
      <c r="L4797" s="339" t="s">
        <v>409</v>
      </c>
      <c r="M4797" s="339" t="s">
        <v>409</v>
      </c>
      <c r="N4797" s="338"/>
      <c r="O4797" s="338" t="s">
        <v>409</v>
      </c>
      <c r="P4797" s="338" t="s">
        <v>417</v>
      </c>
    </row>
    <row r="4798" spans="2:16" x14ac:dyDescent="0.25">
      <c r="B4798" s="336" t="s">
        <v>416</v>
      </c>
      <c r="C4798" s="337">
        <v>38372</v>
      </c>
      <c r="D4798" s="338" t="s">
        <v>878</v>
      </c>
      <c r="E4798" s="336" t="s">
        <v>666</v>
      </c>
      <c r="F4798" s="338" t="s">
        <v>877</v>
      </c>
      <c r="G4798" s="338">
        <v>140</v>
      </c>
      <c r="H4798" s="338" t="s">
        <v>425</v>
      </c>
      <c r="I4798" s="338" t="s">
        <v>411</v>
      </c>
      <c r="J4798" s="339"/>
      <c r="K4798" s="339"/>
      <c r="L4798" s="339"/>
      <c r="M4798" s="339"/>
      <c r="N4798" s="338" t="s">
        <v>417</v>
      </c>
      <c r="O4798" s="338" t="s">
        <v>443</v>
      </c>
      <c r="P4798" s="338" t="s">
        <v>443</v>
      </c>
    </row>
    <row r="4799" spans="2:16" x14ac:dyDescent="0.25">
      <c r="B4799" s="336" t="s">
        <v>416</v>
      </c>
      <c r="C4799" s="337">
        <v>38371</v>
      </c>
      <c r="D4799" s="338" t="s">
        <v>876</v>
      </c>
      <c r="E4799" s="336" t="s">
        <v>525</v>
      </c>
      <c r="F4799" s="338"/>
      <c r="G4799" s="338" t="s">
        <v>413</v>
      </c>
      <c r="H4799" s="338" t="s">
        <v>425</v>
      </c>
      <c r="I4799" s="338" t="s">
        <v>411</v>
      </c>
      <c r="J4799" s="339"/>
      <c r="K4799" s="339"/>
      <c r="L4799" s="339" t="s">
        <v>409</v>
      </c>
      <c r="M4799" s="339" t="s">
        <v>409</v>
      </c>
      <c r="N4799" s="338"/>
      <c r="O4799" s="338" t="s">
        <v>409</v>
      </c>
      <c r="P4799" s="338" t="s">
        <v>417</v>
      </c>
    </row>
    <row r="4800" spans="2:16" x14ac:dyDescent="0.25">
      <c r="B4800" s="336" t="s">
        <v>416</v>
      </c>
      <c r="C4800" s="337">
        <v>38370</v>
      </c>
      <c r="D4800" s="338" t="s">
        <v>875</v>
      </c>
      <c r="E4800" s="336" t="s">
        <v>874</v>
      </c>
      <c r="F4800" s="338"/>
      <c r="G4800" s="338" t="s">
        <v>413</v>
      </c>
      <c r="H4800" s="338" t="s">
        <v>412</v>
      </c>
      <c r="I4800" s="338" t="s">
        <v>411</v>
      </c>
      <c r="J4800" s="339"/>
      <c r="K4800" s="339"/>
      <c r="L4800" s="339" t="s">
        <v>409</v>
      </c>
      <c r="M4800" s="339" t="s">
        <v>409</v>
      </c>
      <c r="N4800" s="338"/>
      <c r="O4800" s="338" t="s">
        <v>409</v>
      </c>
      <c r="P4800" s="338" t="s">
        <v>417</v>
      </c>
    </row>
    <row r="4801" spans="2:16" x14ac:dyDescent="0.25">
      <c r="B4801" s="336" t="s">
        <v>416</v>
      </c>
      <c r="C4801" s="337">
        <v>38365</v>
      </c>
      <c r="D4801" s="338" t="s">
        <v>873</v>
      </c>
      <c r="E4801" s="336" t="s">
        <v>707</v>
      </c>
      <c r="F4801" s="338"/>
      <c r="G4801" s="338" t="s">
        <v>413</v>
      </c>
      <c r="H4801" s="338" t="s">
        <v>336</v>
      </c>
      <c r="I4801" s="338" t="s">
        <v>411</v>
      </c>
      <c r="J4801" s="339"/>
      <c r="K4801" s="339"/>
      <c r="L4801" s="339" t="s">
        <v>409</v>
      </c>
      <c r="M4801" s="339" t="s">
        <v>409</v>
      </c>
      <c r="N4801" s="338" t="s">
        <v>432</v>
      </c>
      <c r="O4801" s="338" t="s">
        <v>409</v>
      </c>
      <c r="P4801" s="338" t="s">
        <v>417</v>
      </c>
    </row>
    <row r="4802" spans="2:16" x14ac:dyDescent="0.25">
      <c r="B4802" s="336" t="s">
        <v>416</v>
      </c>
      <c r="C4802" s="337">
        <v>38364</v>
      </c>
      <c r="D4802" s="338" t="s">
        <v>872</v>
      </c>
      <c r="E4802" s="336" t="s">
        <v>691</v>
      </c>
      <c r="F4802" s="338"/>
      <c r="G4802" s="338" t="s">
        <v>413</v>
      </c>
      <c r="H4802" s="338" t="s">
        <v>412</v>
      </c>
      <c r="I4802" s="338" t="s">
        <v>411</v>
      </c>
      <c r="J4802" s="339"/>
      <c r="K4802" s="339"/>
      <c r="L4802" s="339" t="s">
        <v>409</v>
      </c>
      <c r="M4802" s="339" t="s">
        <v>409</v>
      </c>
      <c r="N4802" s="338"/>
      <c r="O4802" s="338" t="s">
        <v>409</v>
      </c>
      <c r="P4802" s="338" t="s">
        <v>410</v>
      </c>
    </row>
    <row r="4803" spans="2:16" x14ac:dyDescent="0.25">
      <c r="B4803" s="336" t="s">
        <v>416</v>
      </c>
      <c r="C4803" s="337">
        <v>38364</v>
      </c>
      <c r="D4803" s="338" t="s">
        <v>871</v>
      </c>
      <c r="E4803" s="336" t="s">
        <v>691</v>
      </c>
      <c r="F4803" s="338"/>
      <c r="G4803" s="338" t="s">
        <v>413</v>
      </c>
      <c r="H4803" s="338" t="s">
        <v>412</v>
      </c>
      <c r="I4803" s="338" t="s">
        <v>411</v>
      </c>
      <c r="J4803" s="339"/>
      <c r="K4803" s="339"/>
      <c r="L4803" s="339" t="s">
        <v>409</v>
      </c>
      <c r="M4803" s="339" t="s">
        <v>409</v>
      </c>
      <c r="N4803" s="338" t="s">
        <v>417</v>
      </c>
      <c r="O4803" s="338" t="s">
        <v>409</v>
      </c>
      <c r="P4803" s="338" t="s">
        <v>410</v>
      </c>
    </row>
    <row r="4804" spans="2:16" x14ac:dyDescent="0.25">
      <c r="B4804" s="336" t="s">
        <v>416</v>
      </c>
      <c r="C4804" s="337">
        <v>38364</v>
      </c>
      <c r="D4804" s="338" t="s">
        <v>870</v>
      </c>
      <c r="E4804" s="336" t="s">
        <v>691</v>
      </c>
      <c r="F4804" s="338" t="s">
        <v>869</v>
      </c>
      <c r="G4804" s="338" t="s">
        <v>413</v>
      </c>
      <c r="H4804" s="338" t="s">
        <v>412</v>
      </c>
      <c r="I4804" s="338" t="s">
        <v>411</v>
      </c>
      <c r="J4804" s="339"/>
      <c r="K4804" s="339"/>
      <c r="L4804" s="339"/>
      <c r="M4804" s="339"/>
      <c r="N4804" s="338"/>
      <c r="O4804" s="338" t="s">
        <v>417</v>
      </c>
      <c r="P4804" s="338" t="s">
        <v>410</v>
      </c>
    </row>
    <row r="4805" spans="2:16" x14ac:dyDescent="0.25">
      <c r="B4805" s="336" t="s">
        <v>416</v>
      </c>
      <c r="C4805" s="337">
        <v>38364</v>
      </c>
      <c r="D4805" s="338" t="s">
        <v>868</v>
      </c>
      <c r="E4805" s="336" t="s">
        <v>691</v>
      </c>
      <c r="F4805" s="338" t="s">
        <v>867</v>
      </c>
      <c r="G4805" s="338" t="s">
        <v>413</v>
      </c>
      <c r="H4805" s="338" t="s">
        <v>412</v>
      </c>
      <c r="I4805" s="338" t="s">
        <v>411</v>
      </c>
      <c r="J4805" s="339"/>
      <c r="K4805" s="339"/>
      <c r="L4805" s="339"/>
      <c r="M4805" s="339"/>
      <c r="N4805" s="338"/>
      <c r="O4805" s="338" t="s">
        <v>417</v>
      </c>
      <c r="P4805" s="338" t="s">
        <v>410</v>
      </c>
    </row>
    <row r="4806" spans="2:16" x14ac:dyDescent="0.25">
      <c r="B4806" s="336" t="s">
        <v>416</v>
      </c>
      <c r="C4806" s="337">
        <v>38364</v>
      </c>
      <c r="D4806" s="338" t="s">
        <v>866</v>
      </c>
      <c r="E4806" s="336" t="s">
        <v>691</v>
      </c>
      <c r="F4806" s="338"/>
      <c r="G4806" s="338" t="s">
        <v>413</v>
      </c>
      <c r="H4806" s="338" t="s">
        <v>412</v>
      </c>
      <c r="I4806" s="338" t="s">
        <v>411</v>
      </c>
      <c r="J4806" s="339"/>
      <c r="K4806" s="339"/>
      <c r="L4806" s="339" t="s">
        <v>409</v>
      </c>
      <c r="M4806" s="339" t="s">
        <v>409</v>
      </c>
      <c r="N4806" s="338" t="s">
        <v>417</v>
      </c>
      <c r="O4806" s="338" t="s">
        <v>409</v>
      </c>
      <c r="P4806" s="338" t="s">
        <v>410</v>
      </c>
    </row>
    <row r="4807" spans="2:16" x14ac:dyDescent="0.25">
      <c r="B4807" s="336" t="s">
        <v>416</v>
      </c>
      <c r="C4807" s="337">
        <v>38364</v>
      </c>
      <c r="D4807" s="338" t="s">
        <v>865</v>
      </c>
      <c r="E4807" s="336" t="s">
        <v>691</v>
      </c>
      <c r="F4807" s="338"/>
      <c r="G4807" s="338" t="s">
        <v>413</v>
      </c>
      <c r="H4807" s="338" t="s">
        <v>412</v>
      </c>
      <c r="I4807" s="338" t="s">
        <v>411</v>
      </c>
      <c r="J4807" s="339"/>
      <c r="K4807" s="339"/>
      <c r="L4807" s="339" t="s">
        <v>409</v>
      </c>
      <c r="M4807" s="339" t="s">
        <v>409</v>
      </c>
      <c r="N4807" s="338" t="s">
        <v>417</v>
      </c>
      <c r="O4807" s="338" t="s">
        <v>409</v>
      </c>
      <c r="P4807" s="338" t="s">
        <v>410</v>
      </c>
    </row>
    <row r="4808" spans="2:16" x14ac:dyDescent="0.25">
      <c r="B4808" s="336" t="s">
        <v>416</v>
      </c>
      <c r="C4808" s="337">
        <v>38364</v>
      </c>
      <c r="D4808" s="338" t="s">
        <v>864</v>
      </c>
      <c r="E4808" s="336" t="s">
        <v>691</v>
      </c>
      <c r="F4808" s="338"/>
      <c r="G4808" s="338" t="s">
        <v>413</v>
      </c>
      <c r="H4808" s="338" t="s">
        <v>412</v>
      </c>
      <c r="I4808" s="338" t="s">
        <v>411</v>
      </c>
      <c r="J4808" s="339"/>
      <c r="K4808" s="339"/>
      <c r="L4808" s="339" t="s">
        <v>409</v>
      </c>
      <c r="M4808" s="339" t="s">
        <v>409</v>
      </c>
      <c r="N4808" s="338" t="s">
        <v>417</v>
      </c>
      <c r="O4808" s="338" t="s">
        <v>409</v>
      </c>
      <c r="P4808" s="338" t="s">
        <v>410</v>
      </c>
    </row>
    <row r="4809" spans="2:16" x14ac:dyDescent="0.25">
      <c r="B4809" s="336" t="s">
        <v>459</v>
      </c>
      <c r="C4809" s="337">
        <v>38363</v>
      </c>
      <c r="D4809" s="338" t="s">
        <v>863</v>
      </c>
      <c r="E4809" s="336" t="s">
        <v>862</v>
      </c>
      <c r="F4809" s="338"/>
      <c r="G4809" s="338" t="s">
        <v>413</v>
      </c>
      <c r="H4809" s="338" t="s">
        <v>425</v>
      </c>
      <c r="I4809" s="338" t="s">
        <v>411</v>
      </c>
      <c r="J4809" s="339"/>
      <c r="K4809" s="339"/>
      <c r="L4809" s="339" t="s">
        <v>409</v>
      </c>
      <c r="M4809" s="339" t="s">
        <v>409</v>
      </c>
      <c r="N4809" s="338" t="s">
        <v>417</v>
      </c>
      <c r="O4809" s="338" t="s">
        <v>409</v>
      </c>
      <c r="P4809" s="338" t="s">
        <v>443</v>
      </c>
    </row>
    <row r="4810" spans="2:16" x14ac:dyDescent="0.25">
      <c r="B4810" s="336" t="s">
        <v>459</v>
      </c>
      <c r="C4810" s="337">
        <v>38363</v>
      </c>
      <c r="D4810" s="338" t="s">
        <v>861</v>
      </c>
      <c r="E4810" s="336" t="s">
        <v>669</v>
      </c>
      <c r="F4810" s="338" t="s">
        <v>860</v>
      </c>
      <c r="G4810" s="338">
        <v>0.25</v>
      </c>
      <c r="H4810" s="338" t="s">
        <v>507</v>
      </c>
      <c r="I4810" s="338" t="s">
        <v>411</v>
      </c>
      <c r="J4810" s="339"/>
      <c r="K4810" s="339"/>
      <c r="L4810" s="339"/>
      <c r="M4810" s="339"/>
      <c r="N4810" s="338" t="s">
        <v>417</v>
      </c>
      <c r="O4810" s="338" t="s">
        <v>417</v>
      </c>
      <c r="P4810" s="338"/>
    </row>
    <row r="4811" spans="2:16" x14ac:dyDescent="0.25">
      <c r="B4811" s="336" t="s">
        <v>416</v>
      </c>
      <c r="C4811" s="337">
        <v>38363</v>
      </c>
      <c r="D4811" s="338" t="s">
        <v>858</v>
      </c>
      <c r="E4811" s="336" t="s">
        <v>859</v>
      </c>
      <c r="F4811" s="338"/>
      <c r="G4811" s="338">
        <v>81.98</v>
      </c>
      <c r="H4811" s="338" t="s">
        <v>425</v>
      </c>
      <c r="I4811" s="338" t="s">
        <v>411</v>
      </c>
      <c r="J4811" s="339">
        <v>0.17557</v>
      </c>
      <c r="K4811" s="339"/>
      <c r="L4811" s="339" t="s">
        <v>409</v>
      </c>
      <c r="M4811" s="339" t="s">
        <v>409</v>
      </c>
      <c r="N4811" s="338" t="s">
        <v>417</v>
      </c>
      <c r="O4811" s="338" t="s">
        <v>409</v>
      </c>
      <c r="P4811" s="338" t="s">
        <v>543</v>
      </c>
    </row>
    <row r="4812" spans="2:16" x14ac:dyDescent="0.25">
      <c r="B4812" s="336" t="s">
        <v>542</v>
      </c>
      <c r="C4812" s="337">
        <v>38363</v>
      </c>
      <c r="D4812" s="338" t="s">
        <v>858</v>
      </c>
      <c r="E4812" s="336" t="s">
        <v>539</v>
      </c>
      <c r="F4812" s="338"/>
      <c r="G4812" s="338">
        <v>4.4000000000000004</v>
      </c>
      <c r="H4812" s="338"/>
      <c r="I4812" s="338" t="s">
        <v>411</v>
      </c>
      <c r="J4812" s="339">
        <v>0.17557</v>
      </c>
      <c r="K4812" s="339"/>
      <c r="L4812" s="339" t="s">
        <v>409</v>
      </c>
      <c r="M4812" s="339" t="s">
        <v>409</v>
      </c>
      <c r="N4812" s="338" t="s">
        <v>417</v>
      </c>
      <c r="O4812" s="338" t="s">
        <v>409</v>
      </c>
      <c r="P4812" s="338" t="s">
        <v>417</v>
      </c>
    </row>
    <row r="4813" spans="2:16" x14ac:dyDescent="0.25">
      <c r="B4813" s="336" t="s">
        <v>416</v>
      </c>
      <c r="C4813" s="337">
        <v>38363</v>
      </c>
      <c r="D4813" s="338" t="s">
        <v>857</v>
      </c>
      <c r="E4813" s="336" t="s">
        <v>856</v>
      </c>
      <c r="F4813" s="338" t="s">
        <v>855</v>
      </c>
      <c r="G4813" s="338">
        <v>16</v>
      </c>
      <c r="H4813" s="338" t="s">
        <v>425</v>
      </c>
      <c r="I4813" s="338" t="s">
        <v>411</v>
      </c>
      <c r="J4813" s="339"/>
      <c r="K4813" s="339"/>
      <c r="L4813" s="339"/>
      <c r="M4813" s="339"/>
      <c r="N4813" s="338"/>
      <c r="O4813" s="338" t="s">
        <v>443</v>
      </c>
      <c r="P4813" s="338" t="s">
        <v>417</v>
      </c>
    </row>
    <row r="4814" spans="2:16" x14ac:dyDescent="0.25">
      <c r="B4814" s="336" t="s">
        <v>416</v>
      </c>
      <c r="C4814" s="337">
        <v>38363</v>
      </c>
      <c r="D4814" s="338" t="s">
        <v>854</v>
      </c>
      <c r="E4814" s="336" t="s">
        <v>853</v>
      </c>
      <c r="F4814" s="338" t="s">
        <v>852</v>
      </c>
      <c r="G4814" s="338" t="s">
        <v>413</v>
      </c>
      <c r="H4814" s="338" t="s">
        <v>429</v>
      </c>
      <c r="I4814" s="338" t="s">
        <v>411</v>
      </c>
      <c r="J4814" s="339"/>
      <c r="K4814" s="339"/>
      <c r="L4814" s="339"/>
      <c r="M4814" s="339"/>
      <c r="N4814" s="338"/>
      <c r="O4814" s="338" t="s">
        <v>417</v>
      </c>
      <c r="P4814" s="338" t="s">
        <v>410</v>
      </c>
    </row>
    <row r="4815" spans="2:16" x14ac:dyDescent="0.25">
      <c r="B4815" s="336" t="s">
        <v>416</v>
      </c>
      <c r="C4815" s="337">
        <v>38362</v>
      </c>
      <c r="D4815" s="338" t="s">
        <v>851</v>
      </c>
      <c r="E4815" s="336" t="s">
        <v>850</v>
      </c>
      <c r="F4815" s="338" t="s">
        <v>849</v>
      </c>
      <c r="G4815" s="338" t="s">
        <v>413</v>
      </c>
      <c r="H4815" s="338" t="s">
        <v>412</v>
      </c>
      <c r="I4815" s="338" t="s">
        <v>411</v>
      </c>
      <c r="J4815" s="339"/>
      <c r="K4815" s="339"/>
      <c r="L4815" s="339"/>
      <c r="M4815" s="339"/>
      <c r="N4815" s="338"/>
      <c r="O4815" s="338" t="s">
        <v>417</v>
      </c>
      <c r="P4815" s="338" t="s">
        <v>605</v>
      </c>
    </row>
    <row r="4816" spans="2:16" x14ac:dyDescent="0.25">
      <c r="B4816" s="336" t="s">
        <v>416</v>
      </c>
      <c r="C4816" s="337">
        <v>38359</v>
      </c>
      <c r="D4816" s="338" t="s">
        <v>848</v>
      </c>
      <c r="E4816" s="336" t="s">
        <v>847</v>
      </c>
      <c r="F4816" s="338"/>
      <c r="G4816" s="338">
        <v>12</v>
      </c>
      <c r="H4816" s="338" t="s">
        <v>425</v>
      </c>
      <c r="I4816" s="338" t="s">
        <v>411</v>
      </c>
      <c r="J4816" s="339"/>
      <c r="K4816" s="339"/>
      <c r="L4816" s="339" t="s">
        <v>409</v>
      </c>
      <c r="M4816" s="339" t="s">
        <v>409</v>
      </c>
      <c r="N4816" s="338" t="s">
        <v>417</v>
      </c>
      <c r="O4816" s="338" t="s">
        <v>409</v>
      </c>
      <c r="P4816" s="338" t="s">
        <v>417</v>
      </c>
    </row>
    <row r="4817" spans="2:16" x14ac:dyDescent="0.25">
      <c r="B4817" s="336" t="s">
        <v>459</v>
      </c>
      <c r="C4817" s="337">
        <v>38358</v>
      </c>
      <c r="D4817" s="338" t="s">
        <v>846</v>
      </c>
      <c r="E4817" s="336" t="s">
        <v>845</v>
      </c>
      <c r="F4817" s="338"/>
      <c r="G4817" s="338">
        <v>50</v>
      </c>
      <c r="H4817" s="338" t="s">
        <v>425</v>
      </c>
      <c r="I4817" s="338" t="s">
        <v>411</v>
      </c>
      <c r="J4817" s="339"/>
      <c r="K4817" s="339"/>
      <c r="L4817" s="339" t="s">
        <v>409</v>
      </c>
      <c r="M4817" s="339" t="s">
        <v>409</v>
      </c>
      <c r="N4817" s="338" t="s">
        <v>417</v>
      </c>
      <c r="O4817" s="338" t="s">
        <v>409</v>
      </c>
      <c r="P4817" s="338" t="s">
        <v>443</v>
      </c>
    </row>
    <row r="4818" spans="2:16" x14ac:dyDescent="0.25">
      <c r="B4818" s="336" t="s">
        <v>416</v>
      </c>
      <c r="C4818" s="337">
        <v>38358</v>
      </c>
      <c r="D4818" s="338" t="s">
        <v>844</v>
      </c>
      <c r="E4818" s="336" t="s">
        <v>843</v>
      </c>
      <c r="F4818" s="338" t="s">
        <v>842</v>
      </c>
      <c r="G4818" s="338" t="s">
        <v>413</v>
      </c>
      <c r="H4818" s="338" t="s">
        <v>412</v>
      </c>
      <c r="I4818" s="338" t="s">
        <v>411</v>
      </c>
      <c r="J4818" s="339"/>
      <c r="K4818" s="339"/>
      <c r="L4818" s="339">
        <v>2.00787</v>
      </c>
      <c r="M4818" s="339">
        <v>12.1244</v>
      </c>
      <c r="N4818" s="338" t="s">
        <v>417</v>
      </c>
      <c r="O4818" s="338" t="s">
        <v>487</v>
      </c>
      <c r="P4818" s="338" t="s">
        <v>417</v>
      </c>
    </row>
    <row r="4819" spans="2:16" x14ac:dyDescent="0.25">
      <c r="B4819" s="336" t="s">
        <v>416</v>
      </c>
      <c r="C4819" s="337">
        <v>38358</v>
      </c>
      <c r="D4819" s="338" t="s">
        <v>841</v>
      </c>
      <c r="E4819" s="336" t="s">
        <v>840</v>
      </c>
      <c r="F4819" s="338" t="s">
        <v>839</v>
      </c>
      <c r="G4819" s="338">
        <v>26.75</v>
      </c>
      <c r="H4819" s="338" t="s">
        <v>412</v>
      </c>
      <c r="I4819" s="338" t="s">
        <v>411</v>
      </c>
      <c r="J4819" s="339"/>
      <c r="K4819" s="339"/>
      <c r="L4819" s="339"/>
      <c r="M4819" s="339"/>
      <c r="N4819" s="338"/>
      <c r="O4819" s="338" t="s">
        <v>417</v>
      </c>
      <c r="P4819" s="338" t="s">
        <v>417</v>
      </c>
    </row>
    <row r="4820" spans="2:16" x14ac:dyDescent="0.25">
      <c r="B4820" s="336" t="s">
        <v>416</v>
      </c>
      <c r="C4820" s="337">
        <v>38357</v>
      </c>
      <c r="D4820" s="338" t="s">
        <v>838</v>
      </c>
      <c r="E4820" s="336" t="s">
        <v>587</v>
      </c>
      <c r="F4820" s="338"/>
      <c r="G4820" s="338" t="s">
        <v>413</v>
      </c>
      <c r="H4820" s="338" t="s">
        <v>412</v>
      </c>
      <c r="I4820" s="338" t="s">
        <v>411</v>
      </c>
      <c r="J4820" s="339"/>
      <c r="K4820" s="339"/>
      <c r="L4820" s="339" t="s">
        <v>409</v>
      </c>
      <c r="M4820" s="339" t="s">
        <v>409</v>
      </c>
      <c r="N4820" s="338" t="s">
        <v>417</v>
      </c>
      <c r="O4820" s="338" t="s">
        <v>409</v>
      </c>
      <c r="P4820" s="338" t="s">
        <v>417</v>
      </c>
    </row>
    <row r="4821" spans="2:16" x14ac:dyDescent="0.25">
      <c r="B4821" s="336" t="s">
        <v>416</v>
      </c>
      <c r="C4821" s="337">
        <v>38357</v>
      </c>
      <c r="D4821" s="338" t="s">
        <v>837</v>
      </c>
      <c r="E4821" s="336" t="s">
        <v>836</v>
      </c>
      <c r="F4821" s="338"/>
      <c r="G4821" s="338" t="s">
        <v>413</v>
      </c>
      <c r="H4821" s="338" t="s">
        <v>412</v>
      </c>
      <c r="I4821" s="338" t="s">
        <v>411</v>
      </c>
      <c r="J4821" s="339"/>
      <c r="K4821" s="339"/>
      <c r="L4821" s="339" t="s">
        <v>409</v>
      </c>
      <c r="M4821" s="339" t="s">
        <v>409</v>
      </c>
      <c r="N4821" s="338" t="s">
        <v>417</v>
      </c>
      <c r="O4821" s="338" t="s">
        <v>409</v>
      </c>
      <c r="P4821" s="338" t="s">
        <v>417</v>
      </c>
    </row>
    <row r="4822" spans="2:16" x14ac:dyDescent="0.25">
      <c r="B4822" s="336" t="s">
        <v>416</v>
      </c>
      <c r="C4822" s="337">
        <v>38357</v>
      </c>
      <c r="D4822" s="338" t="s">
        <v>835</v>
      </c>
      <c r="E4822" s="336" t="s">
        <v>834</v>
      </c>
      <c r="F4822" s="338"/>
      <c r="G4822" s="338" t="s">
        <v>413</v>
      </c>
      <c r="H4822" s="338" t="s">
        <v>412</v>
      </c>
      <c r="I4822" s="338" t="s">
        <v>411</v>
      </c>
      <c r="J4822" s="339"/>
      <c r="K4822" s="339"/>
      <c r="L4822" s="339" t="s">
        <v>409</v>
      </c>
      <c r="M4822" s="339" t="s">
        <v>409</v>
      </c>
      <c r="N4822" s="338" t="s">
        <v>417</v>
      </c>
      <c r="O4822" s="338" t="s">
        <v>409</v>
      </c>
      <c r="P4822" s="338" t="s">
        <v>417</v>
      </c>
    </row>
    <row r="4823" spans="2:16" x14ac:dyDescent="0.25">
      <c r="B4823" s="336" t="s">
        <v>416</v>
      </c>
      <c r="C4823" s="337">
        <v>38357</v>
      </c>
      <c r="D4823" s="338" t="s">
        <v>833</v>
      </c>
      <c r="E4823" s="336" t="s">
        <v>804</v>
      </c>
      <c r="F4823" s="338"/>
      <c r="G4823" s="338" t="s">
        <v>413</v>
      </c>
      <c r="H4823" s="338" t="s">
        <v>412</v>
      </c>
      <c r="I4823" s="338" t="s">
        <v>411</v>
      </c>
      <c r="J4823" s="339"/>
      <c r="K4823" s="339"/>
      <c r="L4823" s="339" t="s">
        <v>409</v>
      </c>
      <c r="M4823" s="339" t="s">
        <v>409</v>
      </c>
      <c r="N4823" s="338" t="s">
        <v>410</v>
      </c>
      <c r="O4823" s="338" t="s">
        <v>409</v>
      </c>
      <c r="P4823" s="338" t="s">
        <v>443</v>
      </c>
    </row>
    <row r="4824" spans="2:16" x14ac:dyDescent="0.25">
      <c r="B4824" s="336" t="s">
        <v>416</v>
      </c>
      <c r="C4824" s="337">
        <v>38357</v>
      </c>
      <c r="D4824" s="338" t="s">
        <v>832</v>
      </c>
      <c r="E4824" s="336" t="s">
        <v>831</v>
      </c>
      <c r="F4824" s="338"/>
      <c r="G4824" s="338" t="s">
        <v>413</v>
      </c>
      <c r="H4824" s="338" t="s">
        <v>412</v>
      </c>
      <c r="I4824" s="338" t="s">
        <v>411</v>
      </c>
      <c r="J4824" s="339"/>
      <c r="K4824" s="339"/>
      <c r="L4824" s="339" t="s">
        <v>409</v>
      </c>
      <c r="M4824" s="339" t="s">
        <v>409</v>
      </c>
      <c r="N4824" s="338" t="s">
        <v>487</v>
      </c>
      <c r="O4824" s="338" t="s">
        <v>409</v>
      </c>
      <c r="P4824" s="338" t="s">
        <v>417</v>
      </c>
    </row>
    <row r="4825" spans="2:16" x14ac:dyDescent="0.25">
      <c r="B4825" s="336" t="s">
        <v>416</v>
      </c>
      <c r="C4825" s="337">
        <v>38356</v>
      </c>
      <c r="D4825" s="338" t="s">
        <v>830</v>
      </c>
      <c r="E4825" s="336" t="s">
        <v>829</v>
      </c>
      <c r="F4825" s="338"/>
      <c r="G4825" s="338" t="s">
        <v>413</v>
      </c>
      <c r="H4825" s="338" t="s">
        <v>412</v>
      </c>
      <c r="I4825" s="338" t="s">
        <v>411</v>
      </c>
      <c r="J4825" s="339"/>
      <c r="K4825" s="339"/>
      <c r="L4825" s="339" t="s">
        <v>409</v>
      </c>
      <c r="M4825" s="339" t="s">
        <v>409</v>
      </c>
      <c r="N4825" s="338" t="s">
        <v>417</v>
      </c>
      <c r="O4825" s="338" t="s">
        <v>409</v>
      </c>
      <c r="P4825" s="338" t="s">
        <v>443</v>
      </c>
    </row>
    <row r="4826" spans="2:16" x14ac:dyDescent="0.25">
      <c r="B4826" s="336" t="s">
        <v>459</v>
      </c>
      <c r="C4826" s="337">
        <v>38356</v>
      </c>
      <c r="D4826" s="338" t="s">
        <v>828</v>
      </c>
      <c r="E4826" s="336" t="s">
        <v>827</v>
      </c>
      <c r="F4826" s="338"/>
      <c r="G4826" s="338">
        <v>35</v>
      </c>
      <c r="H4826" s="338" t="s">
        <v>425</v>
      </c>
      <c r="I4826" s="338" t="s">
        <v>411</v>
      </c>
      <c r="J4826" s="339">
        <v>2.7541000000000002</v>
      </c>
      <c r="K4826" s="339">
        <v>20.007100000000001</v>
      </c>
      <c r="L4826" s="339" t="s">
        <v>409</v>
      </c>
      <c r="M4826" s="339" t="s">
        <v>409</v>
      </c>
      <c r="N4826" s="338" t="s">
        <v>417</v>
      </c>
      <c r="O4826" s="338" t="s">
        <v>409</v>
      </c>
      <c r="P4826" s="338" t="s">
        <v>443</v>
      </c>
    </row>
    <row r="4827" spans="2:16" x14ac:dyDescent="0.25">
      <c r="B4827" s="336" t="s">
        <v>416</v>
      </c>
      <c r="C4827" s="337">
        <v>38356</v>
      </c>
      <c r="D4827" s="338" t="s">
        <v>826</v>
      </c>
      <c r="E4827" s="336" t="s">
        <v>825</v>
      </c>
      <c r="F4827" s="338"/>
      <c r="G4827" s="338" t="s">
        <v>413</v>
      </c>
      <c r="H4827" s="338" t="s">
        <v>412</v>
      </c>
      <c r="I4827" s="338" t="s">
        <v>411</v>
      </c>
      <c r="J4827" s="339"/>
      <c r="K4827" s="339"/>
      <c r="L4827" s="339" t="s">
        <v>409</v>
      </c>
      <c r="M4827" s="339" t="s">
        <v>409</v>
      </c>
      <c r="N4827" s="338" t="s">
        <v>417</v>
      </c>
      <c r="O4827" s="338" t="s">
        <v>409</v>
      </c>
      <c r="P4827" s="338" t="s">
        <v>417</v>
      </c>
    </row>
    <row r="4828" spans="2:16" x14ac:dyDescent="0.25">
      <c r="B4828" s="336" t="s">
        <v>416</v>
      </c>
      <c r="C4828" s="337">
        <v>38356</v>
      </c>
      <c r="D4828" s="338" t="s">
        <v>824</v>
      </c>
      <c r="E4828" s="336" t="s">
        <v>823</v>
      </c>
      <c r="F4828" s="338"/>
      <c r="G4828" s="338" t="s">
        <v>413</v>
      </c>
      <c r="H4828" s="338" t="s">
        <v>412</v>
      </c>
      <c r="I4828" s="338" t="s">
        <v>411</v>
      </c>
      <c r="J4828" s="339"/>
      <c r="K4828" s="339"/>
      <c r="L4828" s="339" t="s">
        <v>409</v>
      </c>
      <c r="M4828" s="339" t="s">
        <v>409</v>
      </c>
      <c r="N4828" s="338" t="s">
        <v>410</v>
      </c>
      <c r="O4828" s="338" t="s">
        <v>409</v>
      </c>
      <c r="P4828" s="338" t="s">
        <v>410</v>
      </c>
    </row>
    <row r="4829" spans="2:16" x14ac:dyDescent="0.25">
      <c r="B4829" s="336" t="s">
        <v>416</v>
      </c>
      <c r="C4829" s="337">
        <v>38356</v>
      </c>
      <c r="D4829" s="338" t="s">
        <v>822</v>
      </c>
      <c r="E4829" s="336" t="s">
        <v>821</v>
      </c>
      <c r="F4829" s="338"/>
      <c r="G4829" s="338">
        <v>150</v>
      </c>
      <c r="H4829" s="338" t="s">
        <v>425</v>
      </c>
      <c r="I4829" s="338" t="s">
        <v>411</v>
      </c>
      <c r="J4829" s="339"/>
      <c r="K4829" s="339"/>
      <c r="L4829" s="339" t="s">
        <v>409</v>
      </c>
      <c r="M4829" s="339" t="s">
        <v>409</v>
      </c>
      <c r="N4829" s="338" t="s">
        <v>417</v>
      </c>
      <c r="O4829" s="338" t="s">
        <v>409</v>
      </c>
      <c r="P4829" s="338"/>
    </row>
    <row r="4830" spans="2:16" x14ac:dyDescent="0.25">
      <c r="B4830" s="336" t="s">
        <v>416</v>
      </c>
      <c r="C4830" s="337">
        <v>38356</v>
      </c>
      <c r="D4830" s="338" t="s">
        <v>820</v>
      </c>
      <c r="E4830" s="336" t="s">
        <v>819</v>
      </c>
      <c r="F4830" s="338" t="s">
        <v>818</v>
      </c>
      <c r="G4830" s="338" t="s">
        <v>413</v>
      </c>
      <c r="H4830" s="338" t="s">
        <v>412</v>
      </c>
      <c r="I4830" s="338" t="s">
        <v>411</v>
      </c>
      <c r="J4830" s="339"/>
      <c r="K4830" s="339"/>
      <c r="L4830" s="339"/>
      <c r="M4830" s="339"/>
      <c r="N4830" s="338"/>
      <c r="O4830" s="338" t="s">
        <v>482</v>
      </c>
      <c r="P4830" s="338" t="s">
        <v>482</v>
      </c>
    </row>
    <row r="4831" spans="2:16" x14ac:dyDescent="0.25">
      <c r="B4831" s="336" t="s">
        <v>416</v>
      </c>
      <c r="C4831" s="337">
        <v>38356</v>
      </c>
      <c r="D4831" s="338" t="s">
        <v>817</v>
      </c>
      <c r="E4831" s="336" t="s">
        <v>816</v>
      </c>
      <c r="F4831" s="338"/>
      <c r="G4831" s="338" t="s">
        <v>413</v>
      </c>
      <c r="H4831" s="338" t="s">
        <v>425</v>
      </c>
      <c r="I4831" s="338" t="s">
        <v>411</v>
      </c>
      <c r="J4831" s="339"/>
      <c r="K4831" s="339"/>
      <c r="L4831" s="339" t="s">
        <v>409</v>
      </c>
      <c r="M4831" s="339" t="s">
        <v>409</v>
      </c>
      <c r="N4831" s="338" t="s">
        <v>417</v>
      </c>
      <c r="O4831" s="338" t="s">
        <v>409</v>
      </c>
      <c r="P4831" s="338"/>
    </row>
    <row r="4832" spans="2:16" x14ac:dyDescent="0.25">
      <c r="B4832" s="336" t="s">
        <v>416</v>
      </c>
      <c r="C4832" s="337">
        <v>38355</v>
      </c>
      <c r="D4832" s="338" t="s">
        <v>815</v>
      </c>
      <c r="E4832" s="336" t="s">
        <v>814</v>
      </c>
      <c r="F4832" s="338"/>
      <c r="G4832" s="338" t="s">
        <v>413</v>
      </c>
      <c r="H4832" s="338" t="s">
        <v>412</v>
      </c>
      <c r="I4832" s="338" t="s">
        <v>411</v>
      </c>
      <c r="J4832" s="339"/>
      <c r="K4832" s="339"/>
      <c r="L4832" s="339" t="s">
        <v>409</v>
      </c>
      <c r="M4832" s="339" t="s">
        <v>409</v>
      </c>
      <c r="N4832" s="338" t="s">
        <v>410</v>
      </c>
      <c r="O4832" s="338" t="s">
        <v>409</v>
      </c>
      <c r="P4832" s="338" t="s">
        <v>410</v>
      </c>
    </row>
    <row r="4833" spans="2:16" x14ac:dyDescent="0.25">
      <c r="B4833" s="336" t="s">
        <v>416</v>
      </c>
      <c r="C4833" s="337">
        <v>38355</v>
      </c>
      <c r="D4833" s="338" t="s">
        <v>813</v>
      </c>
      <c r="E4833" s="336" t="s">
        <v>812</v>
      </c>
      <c r="F4833" s="338"/>
      <c r="G4833" s="338">
        <v>11.5</v>
      </c>
      <c r="H4833" s="338" t="s">
        <v>425</v>
      </c>
      <c r="I4833" s="338" t="s">
        <v>411</v>
      </c>
      <c r="J4833" s="339"/>
      <c r="K4833" s="339"/>
      <c r="L4833" s="339" t="s">
        <v>409</v>
      </c>
      <c r="M4833" s="339" t="s">
        <v>409</v>
      </c>
      <c r="N4833" s="338" t="s">
        <v>417</v>
      </c>
      <c r="O4833" s="338" t="s">
        <v>409</v>
      </c>
      <c r="P4833" s="338" t="s">
        <v>417</v>
      </c>
    </row>
    <row r="4834" spans="2:16" x14ac:dyDescent="0.25">
      <c r="B4834" s="336" t="s">
        <v>416</v>
      </c>
      <c r="C4834" s="337">
        <v>38355</v>
      </c>
      <c r="D4834" s="338" t="s">
        <v>811</v>
      </c>
      <c r="E4834" s="336" t="s">
        <v>514</v>
      </c>
      <c r="F4834" s="338" t="s">
        <v>810</v>
      </c>
      <c r="G4834" s="338">
        <v>375</v>
      </c>
      <c r="H4834" s="338" t="s">
        <v>425</v>
      </c>
      <c r="I4834" s="338" t="s">
        <v>411</v>
      </c>
      <c r="J4834" s="339"/>
      <c r="K4834" s="339"/>
      <c r="L4834" s="339"/>
      <c r="M4834" s="339"/>
      <c r="N4834" s="338" t="s">
        <v>417</v>
      </c>
      <c r="O4834" s="338" t="s">
        <v>417</v>
      </c>
      <c r="P4834" s="338"/>
    </row>
    <row r="4835" spans="2:16" x14ac:dyDescent="0.25">
      <c r="B4835" s="336" t="s">
        <v>416</v>
      </c>
      <c r="C4835" s="337">
        <v>38353</v>
      </c>
      <c r="D4835" s="338" t="s">
        <v>809</v>
      </c>
      <c r="E4835" s="336" t="s">
        <v>653</v>
      </c>
      <c r="F4835" s="338"/>
      <c r="G4835" s="338" t="s">
        <v>413</v>
      </c>
      <c r="H4835" s="338" t="s">
        <v>412</v>
      </c>
      <c r="I4835" s="338" t="s">
        <v>411</v>
      </c>
      <c r="J4835" s="339"/>
      <c r="K4835" s="339"/>
      <c r="L4835" s="339" t="s">
        <v>409</v>
      </c>
      <c r="M4835" s="339" t="s">
        <v>409</v>
      </c>
      <c r="N4835" s="338"/>
      <c r="O4835" s="338" t="s">
        <v>409</v>
      </c>
      <c r="P4835" s="338" t="s">
        <v>417</v>
      </c>
    </row>
    <row r="4836" spans="2:16" x14ac:dyDescent="0.25">
      <c r="B4836" s="336" t="s">
        <v>416</v>
      </c>
      <c r="C4836" s="337">
        <v>38353</v>
      </c>
      <c r="D4836" s="338" t="s">
        <v>808</v>
      </c>
      <c r="E4836" s="336" t="s">
        <v>807</v>
      </c>
      <c r="F4836" s="338" t="s">
        <v>806</v>
      </c>
      <c r="G4836" s="338" t="s">
        <v>413</v>
      </c>
      <c r="H4836" s="338" t="s">
        <v>412</v>
      </c>
      <c r="I4836" s="338" t="s">
        <v>411</v>
      </c>
      <c r="J4836" s="339"/>
      <c r="K4836" s="339"/>
      <c r="L4836" s="339"/>
      <c r="M4836" s="339"/>
      <c r="N4836" s="338" t="s">
        <v>417</v>
      </c>
      <c r="O4836" s="338" t="s">
        <v>443</v>
      </c>
      <c r="P4836" s="338" t="s">
        <v>417</v>
      </c>
    </row>
    <row r="4837" spans="2:16" x14ac:dyDescent="0.25">
      <c r="B4837" s="336" t="s">
        <v>459</v>
      </c>
      <c r="C4837" s="337">
        <v>38352</v>
      </c>
      <c r="D4837" s="338" t="s">
        <v>805</v>
      </c>
      <c r="E4837" s="336" t="s">
        <v>804</v>
      </c>
      <c r="F4837" s="338"/>
      <c r="G4837" s="338">
        <v>35</v>
      </c>
      <c r="H4837" s="338" t="s">
        <v>425</v>
      </c>
      <c r="I4837" s="338" t="s">
        <v>411</v>
      </c>
      <c r="J4837" s="339"/>
      <c r="K4837" s="339"/>
      <c r="L4837" s="339" t="s">
        <v>409</v>
      </c>
      <c r="M4837" s="339" t="s">
        <v>409</v>
      </c>
      <c r="N4837" s="338" t="s">
        <v>417</v>
      </c>
      <c r="O4837" s="338" t="s">
        <v>409</v>
      </c>
      <c r="P4837" s="338" t="s">
        <v>443</v>
      </c>
    </row>
    <row r="4838" spans="2:16" x14ac:dyDescent="0.25">
      <c r="B4838" s="336" t="s">
        <v>416</v>
      </c>
      <c r="C4838" s="337">
        <v>38349</v>
      </c>
      <c r="D4838" s="338" t="s">
        <v>803</v>
      </c>
      <c r="E4838" s="336" t="s">
        <v>525</v>
      </c>
      <c r="F4838" s="338"/>
      <c r="G4838" s="338" t="s">
        <v>413</v>
      </c>
      <c r="H4838" s="338" t="s">
        <v>425</v>
      </c>
      <c r="I4838" s="338" t="s">
        <v>411</v>
      </c>
      <c r="J4838" s="339"/>
      <c r="K4838" s="339"/>
      <c r="L4838" s="339" t="s">
        <v>409</v>
      </c>
      <c r="M4838" s="339" t="s">
        <v>409</v>
      </c>
      <c r="N4838" s="338"/>
      <c r="O4838" s="338" t="s">
        <v>409</v>
      </c>
      <c r="P4838" s="338" t="s">
        <v>417</v>
      </c>
    </row>
    <row r="4839" spans="2:16" x14ac:dyDescent="0.25">
      <c r="B4839" s="336" t="s">
        <v>416</v>
      </c>
      <c r="C4839" s="337">
        <v>38349</v>
      </c>
      <c r="D4839" s="338" t="s">
        <v>802</v>
      </c>
      <c r="E4839" s="336" t="s">
        <v>801</v>
      </c>
      <c r="F4839" s="338"/>
      <c r="G4839" s="338" t="s">
        <v>413</v>
      </c>
      <c r="H4839" s="338" t="s">
        <v>412</v>
      </c>
      <c r="I4839" s="338" t="s">
        <v>411</v>
      </c>
      <c r="J4839" s="339"/>
      <c r="K4839" s="339"/>
      <c r="L4839" s="339" t="s">
        <v>409</v>
      </c>
      <c r="M4839" s="339" t="s">
        <v>409</v>
      </c>
      <c r="N4839" s="338"/>
      <c r="O4839" s="338" t="s">
        <v>409</v>
      </c>
      <c r="P4839" s="338" t="s">
        <v>417</v>
      </c>
    </row>
    <row r="4840" spans="2:16" x14ac:dyDescent="0.25">
      <c r="B4840" s="336" t="s">
        <v>416</v>
      </c>
      <c r="C4840" s="337">
        <v>38345</v>
      </c>
      <c r="D4840" s="338" t="s">
        <v>800</v>
      </c>
      <c r="E4840" s="336" t="s">
        <v>799</v>
      </c>
      <c r="F4840" s="338"/>
      <c r="G4840" s="338">
        <v>10.5</v>
      </c>
      <c r="H4840" s="338" t="s">
        <v>425</v>
      </c>
      <c r="I4840" s="338" t="s">
        <v>411</v>
      </c>
      <c r="J4840" s="339"/>
      <c r="K4840" s="339"/>
      <c r="L4840" s="339" t="s">
        <v>409</v>
      </c>
      <c r="M4840" s="339" t="s">
        <v>409</v>
      </c>
      <c r="N4840" s="338"/>
      <c r="O4840" s="338" t="s">
        <v>409</v>
      </c>
      <c r="P4840" s="338" t="s">
        <v>443</v>
      </c>
    </row>
    <row r="4841" spans="2:16" x14ac:dyDescent="0.25">
      <c r="B4841" s="336" t="s">
        <v>416</v>
      </c>
      <c r="C4841" s="337">
        <v>38344</v>
      </c>
      <c r="D4841" s="338" t="s">
        <v>798</v>
      </c>
      <c r="E4841" s="336" t="s">
        <v>797</v>
      </c>
      <c r="F4841" s="338"/>
      <c r="G4841" s="338" t="s">
        <v>413</v>
      </c>
      <c r="H4841" s="338" t="s">
        <v>412</v>
      </c>
      <c r="I4841" s="338" t="s">
        <v>411</v>
      </c>
      <c r="J4841" s="339"/>
      <c r="K4841" s="339"/>
      <c r="L4841" s="339" t="s">
        <v>409</v>
      </c>
      <c r="M4841" s="339" t="s">
        <v>409</v>
      </c>
      <c r="N4841" s="338" t="s">
        <v>410</v>
      </c>
      <c r="O4841" s="338" t="s">
        <v>409</v>
      </c>
      <c r="P4841" s="338" t="s">
        <v>417</v>
      </c>
    </row>
    <row r="4842" spans="2:16" x14ac:dyDescent="0.25">
      <c r="B4842" s="336" t="s">
        <v>416</v>
      </c>
      <c r="C4842" s="337">
        <v>38344</v>
      </c>
      <c r="D4842" s="338" t="s">
        <v>796</v>
      </c>
      <c r="E4842" s="336" t="s">
        <v>795</v>
      </c>
      <c r="F4842" s="338"/>
      <c r="G4842" s="338">
        <v>5</v>
      </c>
      <c r="H4842" s="338" t="s">
        <v>418</v>
      </c>
      <c r="I4842" s="338" t="s">
        <v>411</v>
      </c>
      <c r="J4842" s="339"/>
      <c r="K4842" s="339"/>
      <c r="L4842" s="339" t="s">
        <v>409</v>
      </c>
      <c r="M4842" s="339" t="s">
        <v>409</v>
      </c>
      <c r="N4842" s="338"/>
      <c r="O4842" s="338" t="s">
        <v>409</v>
      </c>
      <c r="P4842" s="338" t="s">
        <v>432</v>
      </c>
    </row>
    <row r="4843" spans="2:16" x14ac:dyDescent="0.25">
      <c r="B4843" s="336" t="s">
        <v>416</v>
      </c>
      <c r="C4843" s="337">
        <v>38343</v>
      </c>
      <c r="D4843" s="338" t="s">
        <v>794</v>
      </c>
      <c r="E4843" s="336" t="s">
        <v>793</v>
      </c>
      <c r="F4843" s="338"/>
      <c r="G4843" s="338" t="s">
        <v>413</v>
      </c>
      <c r="H4843" s="338" t="s">
        <v>412</v>
      </c>
      <c r="I4843" s="338" t="s">
        <v>411</v>
      </c>
      <c r="J4843" s="339"/>
      <c r="K4843" s="339"/>
      <c r="L4843" s="339" t="s">
        <v>409</v>
      </c>
      <c r="M4843" s="339" t="s">
        <v>409</v>
      </c>
      <c r="N4843" s="338"/>
      <c r="O4843" s="338" t="s">
        <v>409</v>
      </c>
      <c r="P4843" s="338" t="s">
        <v>432</v>
      </c>
    </row>
    <row r="4844" spans="2:16" x14ac:dyDescent="0.25">
      <c r="B4844" s="336" t="s">
        <v>416</v>
      </c>
      <c r="C4844" s="337">
        <v>38343</v>
      </c>
      <c r="D4844" s="338" t="s">
        <v>792</v>
      </c>
      <c r="E4844" s="336" t="s">
        <v>788</v>
      </c>
      <c r="F4844" s="338" t="s">
        <v>791</v>
      </c>
      <c r="G4844" s="338">
        <v>7</v>
      </c>
      <c r="H4844" s="338" t="s">
        <v>425</v>
      </c>
      <c r="I4844" s="338" t="s">
        <v>411</v>
      </c>
      <c r="J4844" s="339"/>
      <c r="K4844" s="339"/>
      <c r="L4844" s="339">
        <v>1.0241</v>
      </c>
      <c r="M4844" s="339"/>
      <c r="N4844" s="338"/>
      <c r="O4844" s="338" t="s">
        <v>443</v>
      </c>
      <c r="P4844" s="338" t="s">
        <v>443</v>
      </c>
    </row>
    <row r="4845" spans="2:16" x14ac:dyDescent="0.25">
      <c r="B4845" s="336" t="s">
        <v>416</v>
      </c>
      <c r="C4845" s="337">
        <v>38343</v>
      </c>
      <c r="D4845" s="338" t="s">
        <v>790</v>
      </c>
      <c r="E4845" s="336" t="s">
        <v>656</v>
      </c>
      <c r="F4845" s="338"/>
      <c r="G4845" s="338" t="s">
        <v>413</v>
      </c>
      <c r="H4845" s="338" t="s">
        <v>412</v>
      </c>
      <c r="I4845" s="338" t="s">
        <v>411</v>
      </c>
      <c r="J4845" s="339"/>
      <c r="K4845" s="339"/>
      <c r="L4845" s="339" t="s">
        <v>409</v>
      </c>
      <c r="M4845" s="339" t="s">
        <v>409</v>
      </c>
      <c r="N4845" s="338" t="s">
        <v>417</v>
      </c>
      <c r="O4845" s="338" t="s">
        <v>409</v>
      </c>
      <c r="P4845" s="338" t="s">
        <v>408</v>
      </c>
    </row>
    <row r="4846" spans="2:16" x14ac:dyDescent="0.25">
      <c r="B4846" s="336" t="s">
        <v>416</v>
      </c>
      <c r="C4846" s="337">
        <v>38343</v>
      </c>
      <c r="D4846" s="338" t="s">
        <v>789</v>
      </c>
      <c r="E4846" s="336" t="s">
        <v>788</v>
      </c>
      <c r="F4846" s="338" t="s">
        <v>787</v>
      </c>
      <c r="G4846" s="338">
        <v>0.75</v>
      </c>
      <c r="H4846" s="338" t="s">
        <v>425</v>
      </c>
      <c r="I4846" s="338" t="s">
        <v>411</v>
      </c>
      <c r="J4846" s="339"/>
      <c r="K4846" s="339"/>
      <c r="L4846" s="339"/>
      <c r="M4846" s="339"/>
      <c r="N4846" s="338"/>
      <c r="O4846" s="338" t="s">
        <v>443</v>
      </c>
      <c r="P4846" s="338" t="s">
        <v>443</v>
      </c>
    </row>
    <row r="4847" spans="2:16" x14ac:dyDescent="0.25">
      <c r="B4847" s="336" t="s">
        <v>416</v>
      </c>
      <c r="C4847" s="337">
        <v>38341</v>
      </c>
      <c r="D4847" s="338" t="s">
        <v>786</v>
      </c>
      <c r="E4847" s="336" t="s">
        <v>423</v>
      </c>
      <c r="F4847" s="338"/>
      <c r="G4847" s="338" t="s">
        <v>413</v>
      </c>
      <c r="H4847" s="338" t="s">
        <v>412</v>
      </c>
      <c r="I4847" s="338" t="s">
        <v>411</v>
      </c>
      <c r="J4847" s="339"/>
      <c r="K4847" s="339"/>
      <c r="L4847" s="339" t="s">
        <v>409</v>
      </c>
      <c r="M4847" s="339" t="s">
        <v>409</v>
      </c>
      <c r="N4847" s="338" t="s">
        <v>417</v>
      </c>
      <c r="O4847" s="338" t="s">
        <v>409</v>
      </c>
      <c r="P4847" s="338"/>
    </row>
    <row r="4848" spans="2:16" x14ac:dyDescent="0.25">
      <c r="B4848" s="336" t="s">
        <v>459</v>
      </c>
      <c r="C4848" s="337">
        <v>38338</v>
      </c>
      <c r="D4848" s="338" t="s">
        <v>785</v>
      </c>
      <c r="E4848" s="336" t="s">
        <v>784</v>
      </c>
      <c r="F4848" s="338"/>
      <c r="G4848" s="338" t="s">
        <v>413</v>
      </c>
      <c r="H4848" s="338" t="s">
        <v>412</v>
      </c>
      <c r="I4848" s="338" t="s">
        <v>411</v>
      </c>
      <c r="J4848" s="339">
        <v>4.7986599999999997E-2</v>
      </c>
      <c r="K4848" s="339"/>
      <c r="L4848" s="339" t="s">
        <v>409</v>
      </c>
      <c r="M4848" s="339" t="s">
        <v>409</v>
      </c>
      <c r="N4848" s="338" t="s">
        <v>417</v>
      </c>
      <c r="O4848" s="338" t="s">
        <v>409</v>
      </c>
      <c r="P4848" s="338" t="s">
        <v>417</v>
      </c>
    </row>
    <row r="4849" spans="2:16" x14ac:dyDescent="0.25">
      <c r="B4849" s="336" t="s">
        <v>416</v>
      </c>
      <c r="C4849" s="337">
        <v>38338</v>
      </c>
      <c r="D4849" s="338" t="s">
        <v>783</v>
      </c>
      <c r="E4849" s="336" t="s">
        <v>782</v>
      </c>
      <c r="F4849" s="338" t="s">
        <v>781</v>
      </c>
      <c r="G4849" s="338">
        <v>0.8</v>
      </c>
      <c r="H4849" s="338" t="s">
        <v>780</v>
      </c>
      <c r="I4849" s="338" t="s">
        <v>411</v>
      </c>
      <c r="J4849" s="339"/>
      <c r="K4849" s="339"/>
      <c r="L4849" s="339">
        <v>0.72636400000000001</v>
      </c>
      <c r="M4849" s="339">
        <v>5.4113600000000002</v>
      </c>
      <c r="N4849" s="338"/>
      <c r="O4849" s="338" t="s">
        <v>605</v>
      </c>
      <c r="P4849" s="338" t="s">
        <v>410</v>
      </c>
    </row>
    <row r="4850" spans="2:16" x14ac:dyDescent="0.25">
      <c r="B4850" s="336" t="s">
        <v>416</v>
      </c>
      <c r="C4850" s="337">
        <v>38338</v>
      </c>
      <c r="D4850" s="338" t="s">
        <v>779</v>
      </c>
      <c r="E4850" s="336" t="s">
        <v>639</v>
      </c>
      <c r="F4850" s="338"/>
      <c r="G4850" s="338" t="s">
        <v>413</v>
      </c>
      <c r="H4850" s="338" t="s">
        <v>412</v>
      </c>
      <c r="I4850" s="338" t="s">
        <v>411</v>
      </c>
      <c r="J4850" s="339"/>
      <c r="K4850" s="339"/>
      <c r="L4850" s="339" t="s">
        <v>409</v>
      </c>
      <c r="M4850" s="339" t="s">
        <v>409</v>
      </c>
      <c r="N4850" s="338"/>
      <c r="O4850" s="338" t="s">
        <v>409</v>
      </c>
      <c r="P4850" s="338" t="s">
        <v>417</v>
      </c>
    </row>
    <row r="4851" spans="2:16" x14ac:dyDescent="0.25">
      <c r="B4851" s="336" t="s">
        <v>416</v>
      </c>
      <c r="C4851" s="337">
        <v>38337</v>
      </c>
      <c r="D4851" s="338" t="s">
        <v>778</v>
      </c>
      <c r="E4851" s="336" t="s">
        <v>777</v>
      </c>
      <c r="F4851" s="338"/>
      <c r="G4851" s="338" t="s">
        <v>413</v>
      </c>
      <c r="H4851" s="338" t="s">
        <v>412</v>
      </c>
      <c r="I4851" s="338" t="s">
        <v>411</v>
      </c>
      <c r="J4851" s="339"/>
      <c r="K4851" s="339"/>
      <c r="L4851" s="339" t="s">
        <v>409</v>
      </c>
      <c r="M4851" s="339" t="s">
        <v>409</v>
      </c>
      <c r="N4851" s="338" t="s">
        <v>417</v>
      </c>
      <c r="O4851" s="338" t="s">
        <v>409</v>
      </c>
      <c r="P4851" s="338" t="s">
        <v>417</v>
      </c>
    </row>
    <row r="4852" spans="2:16" x14ac:dyDescent="0.25">
      <c r="B4852" s="336" t="s">
        <v>416</v>
      </c>
      <c r="C4852" s="337">
        <v>38337</v>
      </c>
      <c r="D4852" s="338" t="s">
        <v>776</v>
      </c>
      <c r="E4852" s="336" t="s">
        <v>775</v>
      </c>
      <c r="F4852" s="338"/>
      <c r="G4852" s="338">
        <v>0.35</v>
      </c>
      <c r="H4852" s="338" t="s">
        <v>336</v>
      </c>
      <c r="I4852" s="338" t="s">
        <v>411</v>
      </c>
      <c r="J4852" s="339"/>
      <c r="K4852" s="339"/>
      <c r="L4852" s="339" t="s">
        <v>409</v>
      </c>
      <c r="M4852" s="339" t="s">
        <v>409</v>
      </c>
      <c r="N4852" s="338" t="s">
        <v>432</v>
      </c>
      <c r="O4852" s="338" t="s">
        <v>409</v>
      </c>
      <c r="P4852" s="338" t="s">
        <v>432</v>
      </c>
    </row>
    <row r="4853" spans="2:16" x14ac:dyDescent="0.25">
      <c r="B4853" s="336" t="s">
        <v>416</v>
      </c>
      <c r="C4853" s="337">
        <v>38337</v>
      </c>
      <c r="D4853" s="338" t="s">
        <v>774</v>
      </c>
      <c r="E4853" s="336" t="s">
        <v>773</v>
      </c>
      <c r="F4853" s="338" t="s">
        <v>772</v>
      </c>
      <c r="G4853" s="338" t="s">
        <v>413</v>
      </c>
      <c r="H4853" s="338" t="s">
        <v>412</v>
      </c>
      <c r="I4853" s="338" t="s">
        <v>411</v>
      </c>
      <c r="J4853" s="339"/>
      <c r="K4853" s="339"/>
      <c r="L4853" s="339"/>
      <c r="M4853" s="339"/>
      <c r="N4853" s="338" t="s">
        <v>417</v>
      </c>
      <c r="O4853" s="338" t="s">
        <v>417</v>
      </c>
      <c r="P4853" s="338" t="s">
        <v>417</v>
      </c>
    </row>
    <row r="4854" spans="2:16" x14ac:dyDescent="0.25">
      <c r="B4854" s="336" t="s">
        <v>416</v>
      </c>
      <c r="C4854" s="337">
        <v>38330</v>
      </c>
      <c r="D4854" s="338" t="s">
        <v>771</v>
      </c>
      <c r="E4854" s="336" t="s">
        <v>770</v>
      </c>
      <c r="F4854" s="338"/>
      <c r="G4854" s="338">
        <v>5.58</v>
      </c>
      <c r="H4854" s="338" t="s">
        <v>336</v>
      </c>
      <c r="I4854" s="338" t="s">
        <v>411</v>
      </c>
      <c r="J4854" s="339"/>
      <c r="K4854" s="339"/>
      <c r="L4854" s="339" t="s">
        <v>409</v>
      </c>
      <c r="M4854" s="339" t="s">
        <v>409</v>
      </c>
      <c r="N4854" s="338"/>
      <c r="O4854" s="338" t="s">
        <v>409</v>
      </c>
      <c r="P4854" s="338" t="s">
        <v>417</v>
      </c>
    </row>
    <row r="4855" spans="2:16" x14ac:dyDescent="0.25">
      <c r="B4855" s="336" t="s">
        <v>416</v>
      </c>
      <c r="C4855" s="337">
        <v>38330</v>
      </c>
      <c r="D4855" s="338" t="s">
        <v>769</v>
      </c>
      <c r="E4855" s="336" t="s">
        <v>768</v>
      </c>
      <c r="F4855" s="338" t="s">
        <v>767</v>
      </c>
      <c r="G4855" s="338" t="s">
        <v>413</v>
      </c>
      <c r="H4855" s="338" t="s">
        <v>412</v>
      </c>
      <c r="I4855" s="338" t="s">
        <v>411</v>
      </c>
      <c r="J4855" s="339"/>
      <c r="K4855" s="339"/>
      <c r="L4855" s="339"/>
      <c r="M4855" s="339"/>
      <c r="N4855" s="338" t="s">
        <v>417</v>
      </c>
      <c r="O4855" s="338" t="s">
        <v>417</v>
      </c>
      <c r="P4855" s="338" t="s">
        <v>443</v>
      </c>
    </row>
    <row r="4856" spans="2:16" x14ac:dyDescent="0.25">
      <c r="B4856" s="336" t="s">
        <v>416</v>
      </c>
      <c r="C4856" s="337">
        <v>38330</v>
      </c>
      <c r="D4856" s="338" t="s">
        <v>766</v>
      </c>
      <c r="E4856" s="336" t="s">
        <v>765</v>
      </c>
      <c r="F4856" s="338" t="s">
        <v>764</v>
      </c>
      <c r="G4856" s="338" t="s">
        <v>413</v>
      </c>
      <c r="H4856" s="338" t="s">
        <v>412</v>
      </c>
      <c r="I4856" s="338" t="s">
        <v>411</v>
      </c>
      <c r="J4856" s="339"/>
      <c r="K4856" s="339"/>
      <c r="L4856" s="339">
        <v>7.6588500000000002</v>
      </c>
      <c r="M4856" s="339">
        <v>16.0794</v>
      </c>
      <c r="N4856" s="338"/>
      <c r="O4856" s="338" t="s">
        <v>443</v>
      </c>
      <c r="P4856" s="338" t="s">
        <v>417</v>
      </c>
    </row>
    <row r="4857" spans="2:16" x14ac:dyDescent="0.25">
      <c r="B4857" s="336" t="s">
        <v>416</v>
      </c>
      <c r="C4857" s="337">
        <v>38329</v>
      </c>
      <c r="D4857" s="338" t="s">
        <v>763</v>
      </c>
      <c r="E4857" s="336" t="s">
        <v>762</v>
      </c>
      <c r="F4857" s="338" t="s">
        <v>761</v>
      </c>
      <c r="G4857" s="338">
        <v>13</v>
      </c>
      <c r="H4857" s="338" t="s">
        <v>425</v>
      </c>
      <c r="I4857" s="338" t="s">
        <v>411</v>
      </c>
      <c r="J4857" s="339"/>
      <c r="K4857" s="339"/>
      <c r="L4857" s="339">
        <v>2.8752</v>
      </c>
      <c r="M4857" s="339">
        <v>15.0625</v>
      </c>
      <c r="N4857" s="338"/>
      <c r="O4857" s="338" t="s">
        <v>417</v>
      </c>
      <c r="P4857" s="338"/>
    </row>
    <row r="4858" spans="2:16" x14ac:dyDescent="0.25">
      <c r="B4858" s="336" t="s">
        <v>416</v>
      </c>
      <c r="C4858" s="337">
        <v>38329</v>
      </c>
      <c r="D4858" s="338" t="s">
        <v>760</v>
      </c>
      <c r="E4858" s="336" t="s">
        <v>759</v>
      </c>
      <c r="F4858" s="338"/>
      <c r="G4858" s="338" t="s">
        <v>413</v>
      </c>
      <c r="H4858" s="338" t="s">
        <v>412</v>
      </c>
      <c r="I4858" s="338" t="s">
        <v>411</v>
      </c>
      <c r="J4858" s="339"/>
      <c r="K4858" s="339"/>
      <c r="L4858" s="339" t="s">
        <v>409</v>
      </c>
      <c r="M4858" s="339" t="s">
        <v>409</v>
      </c>
      <c r="N4858" s="338" t="s">
        <v>417</v>
      </c>
      <c r="O4858" s="338" t="s">
        <v>409</v>
      </c>
      <c r="P4858" s="338" t="s">
        <v>410</v>
      </c>
    </row>
    <row r="4859" spans="2:16" x14ac:dyDescent="0.25">
      <c r="B4859" s="336" t="s">
        <v>416</v>
      </c>
      <c r="C4859" s="337">
        <v>38328</v>
      </c>
      <c r="D4859" s="338" t="s">
        <v>758</v>
      </c>
      <c r="E4859" s="336" t="s">
        <v>639</v>
      </c>
      <c r="F4859" s="338"/>
      <c r="G4859" s="338" t="s">
        <v>413</v>
      </c>
      <c r="H4859" s="338" t="s">
        <v>412</v>
      </c>
      <c r="I4859" s="338" t="s">
        <v>411</v>
      </c>
      <c r="J4859" s="339"/>
      <c r="K4859" s="339"/>
      <c r="L4859" s="339" t="s">
        <v>409</v>
      </c>
      <c r="M4859" s="339" t="s">
        <v>409</v>
      </c>
      <c r="N4859" s="338" t="s">
        <v>417</v>
      </c>
      <c r="O4859" s="338" t="s">
        <v>409</v>
      </c>
      <c r="P4859" s="338" t="s">
        <v>417</v>
      </c>
    </row>
    <row r="4860" spans="2:16" x14ac:dyDescent="0.25">
      <c r="B4860" s="336" t="s">
        <v>416</v>
      </c>
      <c r="C4860" s="337">
        <v>38327</v>
      </c>
      <c r="D4860" s="338" t="s">
        <v>757</v>
      </c>
      <c r="E4860" s="336" t="s">
        <v>756</v>
      </c>
      <c r="F4860" s="338"/>
      <c r="G4860" s="338" t="s">
        <v>413</v>
      </c>
      <c r="H4860" s="338" t="s">
        <v>425</v>
      </c>
      <c r="I4860" s="338" t="s">
        <v>411</v>
      </c>
      <c r="J4860" s="339"/>
      <c r="K4860" s="339"/>
      <c r="L4860" s="339" t="s">
        <v>409</v>
      </c>
      <c r="M4860" s="339" t="s">
        <v>409</v>
      </c>
      <c r="N4860" s="338" t="s">
        <v>417</v>
      </c>
      <c r="O4860" s="338" t="s">
        <v>409</v>
      </c>
      <c r="P4860" s="338"/>
    </row>
    <row r="4861" spans="2:16" x14ac:dyDescent="0.25">
      <c r="B4861" s="336" t="s">
        <v>416</v>
      </c>
      <c r="C4861" s="337">
        <v>38327</v>
      </c>
      <c r="D4861" s="338" t="s">
        <v>755</v>
      </c>
      <c r="E4861" s="336" t="s">
        <v>754</v>
      </c>
      <c r="F4861" s="338"/>
      <c r="G4861" s="338" t="s">
        <v>413</v>
      </c>
      <c r="H4861" s="338" t="s">
        <v>412</v>
      </c>
      <c r="I4861" s="338" t="s">
        <v>411</v>
      </c>
      <c r="J4861" s="339"/>
      <c r="K4861" s="339"/>
      <c r="L4861" s="339" t="s">
        <v>409</v>
      </c>
      <c r="M4861" s="339" t="s">
        <v>409</v>
      </c>
      <c r="N4861" s="338"/>
      <c r="O4861" s="338" t="s">
        <v>409</v>
      </c>
      <c r="P4861" s="338" t="s">
        <v>417</v>
      </c>
    </row>
    <row r="4862" spans="2:16" x14ac:dyDescent="0.25">
      <c r="B4862" s="336" t="s">
        <v>416</v>
      </c>
      <c r="C4862" s="337">
        <v>38327</v>
      </c>
      <c r="D4862" s="338" t="s">
        <v>753</v>
      </c>
      <c r="E4862" s="336" t="s">
        <v>752</v>
      </c>
      <c r="F4862" s="338" t="s">
        <v>751</v>
      </c>
      <c r="G4862" s="338">
        <v>4.5</v>
      </c>
      <c r="H4862" s="338" t="s">
        <v>425</v>
      </c>
      <c r="I4862" s="338" t="s">
        <v>411</v>
      </c>
      <c r="J4862" s="339"/>
      <c r="K4862" s="339"/>
      <c r="L4862" s="339"/>
      <c r="M4862" s="339"/>
      <c r="N4862" s="338"/>
      <c r="O4862" s="338" t="s">
        <v>410</v>
      </c>
      <c r="P4862" s="338" t="s">
        <v>410</v>
      </c>
    </row>
    <row r="4863" spans="2:16" x14ac:dyDescent="0.25">
      <c r="B4863" s="336" t="s">
        <v>416</v>
      </c>
      <c r="C4863" s="337">
        <v>38325</v>
      </c>
      <c r="D4863" s="338" t="s">
        <v>750</v>
      </c>
      <c r="E4863" s="336" t="s">
        <v>749</v>
      </c>
      <c r="F4863" s="338" t="s">
        <v>748</v>
      </c>
      <c r="G4863" s="338" t="s">
        <v>413</v>
      </c>
      <c r="H4863" s="338" t="s">
        <v>412</v>
      </c>
      <c r="I4863" s="338" t="s">
        <v>411</v>
      </c>
      <c r="J4863" s="339"/>
      <c r="K4863" s="339"/>
      <c r="L4863" s="339"/>
      <c r="M4863" s="339"/>
      <c r="N4863" s="338" t="s">
        <v>417</v>
      </c>
      <c r="O4863" s="338" t="s">
        <v>612</v>
      </c>
      <c r="P4863" s="338" t="s">
        <v>443</v>
      </c>
    </row>
    <row r="4864" spans="2:16" x14ac:dyDescent="0.25">
      <c r="B4864" s="336" t="s">
        <v>416</v>
      </c>
      <c r="C4864" s="337">
        <v>38324</v>
      </c>
      <c r="D4864" s="338" t="s">
        <v>747</v>
      </c>
      <c r="E4864" s="336" t="s">
        <v>746</v>
      </c>
      <c r="F4864" s="338"/>
      <c r="G4864" s="338" t="s">
        <v>413</v>
      </c>
      <c r="H4864" s="338" t="s">
        <v>412</v>
      </c>
      <c r="I4864" s="338" t="s">
        <v>411</v>
      </c>
      <c r="J4864" s="339"/>
      <c r="K4864" s="339"/>
      <c r="L4864" s="339" t="s">
        <v>409</v>
      </c>
      <c r="M4864" s="339" t="s">
        <v>409</v>
      </c>
      <c r="N4864" s="338"/>
      <c r="O4864" s="338" t="s">
        <v>409</v>
      </c>
      <c r="P4864" s="338" t="s">
        <v>417</v>
      </c>
    </row>
    <row r="4865" spans="2:16" x14ac:dyDescent="0.25">
      <c r="B4865" s="336" t="s">
        <v>416</v>
      </c>
      <c r="C4865" s="337">
        <v>38324</v>
      </c>
      <c r="D4865" s="338" t="s">
        <v>745</v>
      </c>
      <c r="E4865" s="336" t="s">
        <v>744</v>
      </c>
      <c r="F4865" s="338"/>
      <c r="G4865" s="338" t="s">
        <v>413</v>
      </c>
      <c r="H4865" s="338" t="s">
        <v>412</v>
      </c>
      <c r="I4865" s="338" t="s">
        <v>411</v>
      </c>
      <c r="J4865" s="339"/>
      <c r="K4865" s="339"/>
      <c r="L4865" s="339" t="s">
        <v>409</v>
      </c>
      <c r="M4865" s="339" t="s">
        <v>409</v>
      </c>
      <c r="N4865" s="338" t="s">
        <v>487</v>
      </c>
      <c r="O4865" s="338" t="s">
        <v>409</v>
      </c>
      <c r="P4865" s="338" t="s">
        <v>443</v>
      </c>
    </row>
    <row r="4866" spans="2:16" x14ac:dyDescent="0.25">
      <c r="B4866" s="336" t="s">
        <v>416</v>
      </c>
      <c r="C4866" s="337">
        <v>38323</v>
      </c>
      <c r="D4866" s="338" t="s">
        <v>743</v>
      </c>
      <c r="E4866" s="336" t="s">
        <v>742</v>
      </c>
      <c r="F4866" s="338" t="s">
        <v>741</v>
      </c>
      <c r="G4866" s="338">
        <v>38</v>
      </c>
      <c r="H4866" s="338" t="s">
        <v>425</v>
      </c>
      <c r="I4866" s="338" t="s">
        <v>411</v>
      </c>
      <c r="J4866" s="339"/>
      <c r="K4866" s="339"/>
      <c r="L4866" s="339">
        <v>3.43716</v>
      </c>
      <c r="M4866" s="339">
        <v>18.905200000000001</v>
      </c>
      <c r="N4866" s="338"/>
      <c r="O4866" s="338" t="s">
        <v>443</v>
      </c>
      <c r="P4866" s="338" t="s">
        <v>417</v>
      </c>
    </row>
    <row r="4867" spans="2:16" x14ac:dyDescent="0.25">
      <c r="B4867" s="336" t="s">
        <v>416</v>
      </c>
      <c r="C4867" s="337">
        <v>38323</v>
      </c>
      <c r="D4867" s="338" t="s">
        <v>740</v>
      </c>
      <c r="E4867" s="336" t="s">
        <v>739</v>
      </c>
      <c r="F4867" s="338"/>
      <c r="G4867" s="338" t="s">
        <v>413</v>
      </c>
      <c r="H4867" s="338" t="s">
        <v>412</v>
      </c>
      <c r="I4867" s="338" t="s">
        <v>411</v>
      </c>
      <c r="J4867" s="339"/>
      <c r="K4867" s="339"/>
      <c r="L4867" s="339" t="s">
        <v>409</v>
      </c>
      <c r="M4867" s="339" t="s">
        <v>409</v>
      </c>
      <c r="N4867" s="338" t="s">
        <v>417</v>
      </c>
      <c r="O4867" s="338" t="s">
        <v>409</v>
      </c>
      <c r="P4867" s="338" t="s">
        <v>410</v>
      </c>
    </row>
    <row r="4868" spans="2:16" x14ac:dyDescent="0.25">
      <c r="B4868" s="336" t="s">
        <v>416</v>
      </c>
      <c r="C4868" s="337">
        <v>38323</v>
      </c>
      <c r="D4868" s="338" t="s">
        <v>738</v>
      </c>
      <c r="E4868" s="336" t="s">
        <v>737</v>
      </c>
      <c r="F4868" s="338" t="s">
        <v>736</v>
      </c>
      <c r="G4868" s="338">
        <v>450</v>
      </c>
      <c r="H4868" s="338" t="s">
        <v>425</v>
      </c>
      <c r="I4868" s="338" t="s">
        <v>411</v>
      </c>
      <c r="J4868" s="339"/>
      <c r="K4868" s="339"/>
      <c r="L4868" s="339"/>
      <c r="M4868" s="339"/>
      <c r="N4868" s="338" t="s">
        <v>417</v>
      </c>
      <c r="O4868" s="338" t="s">
        <v>443</v>
      </c>
      <c r="P4868" s="338"/>
    </row>
    <row r="4869" spans="2:16" x14ac:dyDescent="0.25">
      <c r="B4869" s="336" t="s">
        <v>416</v>
      </c>
      <c r="C4869" s="337">
        <v>38323</v>
      </c>
      <c r="D4869" s="338" t="s">
        <v>735</v>
      </c>
      <c r="E4869" s="336" t="s">
        <v>734</v>
      </c>
      <c r="F4869" s="338"/>
      <c r="G4869" s="338" t="s">
        <v>413</v>
      </c>
      <c r="H4869" s="338" t="s">
        <v>412</v>
      </c>
      <c r="I4869" s="338" t="s">
        <v>411</v>
      </c>
      <c r="J4869" s="339"/>
      <c r="K4869" s="339"/>
      <c r="L4869" s="339" t="s">
        <v>409</v>
      </c>
      <c r="M4869" s="339" t="s">
        <v>409</v>
      </c>
      <c r="N4869" s="338" t="s">
        <v>487</v>
      </c>
      <c r="O4869" s="338" t="s">
        <v>409</v>
      </c>
      <c r="P4869" s="338" t="s">
        <v>487</v>
      </c>
    </row>
    <row r="4870" spans="2:16" x14ac:dyDescent="0.25">
      <c r="B4870" s="336" t="s">
        <v>416</v>
      </c>
      <c r="C4870" s="337">
        <v>38322</v>
      </c>
      <c r="D4870" s="338" t="s">
        <v>733</v>
      </c>
      <c r="E4870" s="336" t="s">
        <v>732</v>
      </c>
      <c r="F4870" s="338"/>
      <c r="G4870" s="338" t="s">
        <v>413</v>
      </c>
      <c r="H4870" s="338" t="s">
        <v>412</v>
      </c>
      <c r="I4870" s="338" t="s">
        <v>411</v>
      </c>
      <c r="J4870" s="339"/>
      <c r="K4870" s="339"/>
      <c r="L4870" s="339" t="s">
        <v>409</v>
      </c>
      <c r="M4870" s="339" t="s">
        <v>409</v>
      </c>
      <c r="N4870" s="338" t="s">
        <v>410</v>
      </c>
      <c r="O4870" s="338" t="s">
        <v>409</v>
      </c>
      <c r="P4870" s="338" t="s">
        <v>443</v>
      </c>
    </row>
    <row r="4871" spans="2:16" x14ac:dyDescent="0.25">
      <c r="B4871" s="336" t="s">
        <v>416</v>
      </c>
      <c r="C4871" s="337">
        <v>38322</v>
      </c>
      <c r="D4871" s="338" t="s">
        <v>731</v>
      </c>
      <c r="E4871" s="336" t="s">
        <v>730</v>
      </c>
      <c r="F4871" s="338"/>
      <c r="G4871" s="338" t="s">
        <v>413</v>
      </c>
      <c r="H4871" s="338" t="s">
        <v>412</v>
      </c>
      <c r="I4871" s="338" t="s">
        <v>411</v>
      </c>
      <c r="J4871" s="339"/>
      <c r="K4871" s="339"/>
      <c r="L4871" s="339" t="s">
        <v>409</v>
      </c>
      <c r="M4871" s="339" t="s">
        <v>409</v>
      </c>
      <c r="N4871" s="338" t="s">
        <v>417</v>
      </c>
      <c r="O4871" s="338" t="s">
        <v>409</v>
      </c>
      <c r="P4871" s="338" t="s">
        <v>417</v>
      </c>
    </row>
    <row r="4872" spans="2:16" x14ac:dyDescent="0.25">
      <c r="B4872" s="336" t="s">
        <v>416</v>
      </c>
      <c r="C4872" s="337">
        <v>38322</v>
      </c>
      <c r="D4872" s="338" t="s">
        <v>729</v>
      </c>
      <c r="E4872" s="336" t="s">
        <v>669</v>
      </c>
      <c r="F4872" s="338" t="s">
        <v>728</v>
      </c>
      <c r="G4872" s="338" t="s">
        <v>413</v>
      </c>
      <c r="H4872" s="338" t="s">
        <v>425</v>
      </c>
      <c r="I4872" s="338" t="s">
        <v>411</v>
      </c>
      <c r="J4872" s="339"/>
      <c r="K4872" s="339"/>
      <c r="L4872" s="339"/>
      <c r="M4872" s="339"/>
      <c r="N4872" s="338"/>
      <c r="O4872" s="338" t="s">
        <v>417</v>
      </c>
      <c r="P4872" s="338"/>
    </row>
    <row r="4873" spans="2:16" x14ac:dyDescent="0.25">
      <c r="B4873" s="336" t="s">
        <v>416</v>
      </c>
      <c r="C4873" s="337">
        <v>38322</v>
      </c>
      <c r="D4873" s="338" t="s">
        <v>727</v>
      </c>
      <c r="E4873" s="336" t="s">
        <v>726</v>
      </c>
      <c r="F4873" s="338" t="s">
        <v>725</v>
      </c>
      <c r="G4873" s="338">
        <v>4.03</v>
      </c>
      <c r="H4873" s="338" t="s">
        <v>336</v>
      </c>
      <c r="I4873" s="338" t="s">
        <v>411</v>
      </c>
      <c r="J4873" s="339"/>
      <c r="K4873" s="339"/>
      <c r="L4873" s="339"/>
      <c r="M4873" s="339"/>
      <c r="N4873" s="338" t="s">
        <v>432</v>
      </c>
      <c r="O4873" s="338" t="s">
        <v>410</v>
      </c>
      <c r="P4873" s="338" t="s">
        <v>408</v>
      </c>
    </row>
    <row r="4874" spans="2:16" x14ac:dyDescent="0.25">
      <c r="B4874" s="336" t="s">
        <v>416</v>
      </c>
      <c r="C4874" s="337">
        <v>38322</v>
      </c>
      <c r="D4874" s="338" t="s">
        <v>724</v>
      </c>
      <c r="E4874" s="336" t="s">
        <v>669</v>
      </c>
      <c r="F4874" s="338" t="s">
        <v>723</v>
      </c>
      <c r="G4874" s="338" t="s">
        <v>413</v>
      </c>
      <c r="H4874" s="338" t="s">
        <v>412</v>
      </c>
      <c r="I4874" s="338" t="s">
        <v>411</v>
      </c>
      <c r="J4874" s="339"/>
      <c r="K4874" s="339"/>
      <c r="L4874" s="339">
        <v>2.7112799999999999</v>
      </c>
      <c r="M4874" s="339">
        <v>10.0115</v>
      </c>
      <c r="N4874" s="338"/>
      <c r="O4874" s="338" t="s">
        <v>410</v>
      </c>
      <c r="P4874" s="338"/>
    </row>
    <row r="4875" spans="2:16" x14ac:dyDescent="0.25">
      <c r="B4875" s="336" t="s">
        <v>416</v>
      </c>
      <c r="C4875" s="337">
        <v>38322</v>
      </c>
      <c r="D4875" s="338" t="s">
        <v>722</v>
      </c>
      <c r="E4875" s="336" t="s">
        <v>721</v>
      </c>
      <c r="F4875" s="338" t="s">
        <v>720</v>
      </c>
      <c r="G4875" s="338" t="s">
        <v>413</v>
      </c>
      <c r="H4875" s="338" t="s">
        <v>418</v>
      </c>
      <c r="I4875" s="338" t="s">
        <v>411</v>
      </c>
      <c r="J4875" s="339"/>
      <c r="K4875" s="339"/>
      <c r="L4875" s="339">
        <v>0.184003</v>
      </c>
      <c r="M4875" s="339">
        <v>16.8766</v>
      </c>
      <c r="N4875" s="338" t="s">
        <v>410</v>
      </c>
      <c r="O4875" s="338" t="s">
        <v>410</v>
      </c>
      <c r="P4875" s="338" t="s">
        <v>417</v>
      </c>
    </row>
    <row r="4876" spans="2:16" x14ac:dyDescent="0.25">
      <c r="B4876" s="336" t="s">
        <v>416</v>
      </c>
      <c r="C4876" s="337">
        <v>38322</v>
      </c>
      <c r="D4876" s="338" t="s">
        <v>719</v>
      </c>
      <c r="E4876" s="336" t="s">
        <v>718</v>
      </c>
      <c r="F4876" s="338"/>
      <c r="G4876" s="338">
        <v>4.75</v>
      </c>
      <c r="H4876" s="338" t="s">
        <v>412</v>
      </c>
      <c r="I4876" s="338" t="s">
        <v>411</v>
      </c>
      <c r="J4876" s="339"/>
      <c r="K4876" s="339"/>
      <c r="L4876" s="339" t="s">
        <v>409</v>
      </c>
      <c r="M4876" s="339" t="s">
        <v>409</v>
      </c>
      <c r="N4876" s="338"/>
      <c r="O4876" s="338" t="s">
        <v>409</v>
      </c>
      <c r="P4876" s="338" t="s">
        <v>417</v>
      </c>
    </row>
    <row r="4877" spans="2:16" x14ac:dyDescent="0.25">
      <c r="B4877" s="336" t="s">
        <v>416</v>
      </c>
      <c r="C4877" s="337">
        <v>38321</v>
      </c>
      <c r="D4877" s="338" t="s">
        <v>717</v>
      </c>
      <c r="E4877" s="336" t="s">
        <v>716</v>
      </c>
      <c r="F4877" s="338"/>
      <c r="G4877" s="338" t="s">
        <v>413</v>
      </c>
      <c r="H4877" s="338" t="s">
        <v>412</v>
      </c>
      <c r="I4877" s="338" t="s">
        <v>411</v>
      </c>
      <c r="J4877" s="339"/>
      <c r="K4877" s="339"/>
      <c r="L4877" s="339" t="s">
        <v>409</v>
      </c>
      <c r="M4877" s="339" t="s">
        <v>409</v>
      </c>
      <c r="N4877" s="338" t="s">
        <v>410</v>
      </c>
      <c r="O4877" s="338" t="s">
        <v>409</v>
      </c>
      <c r="P4877" s="338" t="s">
        <v>443</v>
      </c>
    </row>
    <row r="4878" spans="2:16" x14ac:dyDescent="0.25">
      <c r="B4878" s="336" t="s">
        <v>416</v>
      </c>
      <c r="C4878" s="337">
        <v>38320</v>
      </c>
      <c r="D4878" s="338" t="s">
        <v>715</v>
      </c>
      <c r="E4878" s="336" t="s">
        <v>714</v>
      </c>
      <c r="F4878" s="338"/>
      <c r="G4878" s="338" t="s">
        <v>413</v>
      </c>
      <c r="H4878" s="338" t="s">
        <v>412</v>
      </c>
      <c r="I4878" s="338" t="s">
        <v>411</v>
      </c>
      <c r="J4878" s="339"/>
      <c r="K4878" s="339"/>
      <c r="L4878" s="339" t="s">
        <v>409</v>
      </c>
      <c r="M4878" s="339" t="s">
        <v>409</v>
      </c>
      <c r="N4878" s="338" t="s">
        <v>417</v>
      </c>
      <c r="O4878" s="338" t="s">
        <v>409</v>
      </c>
      <c r="P4878" s="338" t="s">
        <v>417</v>
      </c>
    </row>
    <row r="4879" spans="2:16" x14ac:dyDescent="0.25">
      <c r="B4879" s="336" t="s">
        <v>416</v>
      </c>
      <c r="C4879" s="337">
        <v>38314</v>
      </c>
      <c r="D4879" s="338" t="s">
        <v>713</v>
      </c>
      <c r="E4879" s="336" t="s">
        <v>712</v>
      </c>
      <c r="F4879" s="338"/>
      <c r="G4879" s="338">
        <v>855.1</v>
      </c>
      <c r="H4879" s="338" t="s">
        <v>412</v>
      </c>
      <c r="I4879" s="338" t="s">
        <v>411</v>
      </c>
      <c r="J4879" s="339"/>
      <c r="K4879" s="339"/>
      <c r="L4879" s="339" t="s">
        <v>409</v>
      </c>
      <c r="M4879" s="339" t="s">
        <v>409</v>
      </c>
      <c r="N4879" s="338" t="s">
        <v>417</v>
      </c>
      <c r="O4879" s="338" t="s">
        <v>409</v>
      </c>
      <c r="P4879" s="338" t="s">
        <v>443</v>
      </c>
    </row>
    <row r="4880" spans="2:16" x14ac:dyDescent="0.25">
      <c r="B4880" s="336" t="s">
        <v>416</v>
      </c>
      <c r="C4880" s="337">
        <v>38314</v>
      </c>
      <c r="D4880" s="338" t="s">
        <v>711</v>
      </c>
      <c r="E4880" s="336" t="s">
        <v>710</v>
      </c>
      <c r="F4880" s="338" t="s">
        <v>709</v>
      </c>
      <c r="G4880" s="338" t="s">
        <v>413</v>
      </c>
      <c r="H4880" s="338" t="s">
        <v>412</v>
      </c>
      <c r="I4880" s="338" t="s">
        <v>411</v>
      </c>
      <c r="J4880" s="339"/>
      <c r="K4880" s="339"/>
      <c r="L4880" s="339"/>
      <c r="M4880" s="339"/>
      <c r="N4880" s="338"/>
      <c r="O4880" s="338" t="s">
        <v>443</v>
      </c>
      <c r="P4880" s="338"/>
    </row>
    <row r="4881" spans="2:16" x14ac:dyDescent="0.25">
      <c r="B4881" s="336" t="s">
        <v>416</v>
      </c>
      <c r="C4881" s="337">
        <v>38314</v>
      </c>
      <c r="D4881" s="338" t="s">
        <v>708</v>
      </c>
      <c r="E4881" s="336" t="s">
        <v>707</v>
      </c>
      <c r="F4881" s="338" t="s">
        <v>706</v>
      </c>
      <c r="G4881" s="338" t="s">
        <v>413</v>
      </c>
      <c r="H4881" s="338" t="s">
        <v>412</v>
      </c>
      <c r="I4881" s="338" t="s">
        <v>411</v>
      </c>
      <c r="J4881" s="339"/>
      <c r="K4881" s="339"/>
      <c r="L4881" s="339"/>
      <c r="M4881" s="339"/>
      <c r="N4881" s="338" t="s">
        <v>432</v>
      </c>
      <c r="O4881" s="338" t="s">
        <v>417</v>
      </c>
      <c r="P4881" s="338" t="s">
        <v>417</v>
      </c>
    </row>
    <row r="4882" spans="2:16" x14ac:dyDescent="0.25">
      <c r="B4882" s="336" t="s">
        <v>416</v>
      </c>
      <c r="C4882" s="337">
        <v>38314</v>
      </c>
      <c r="D4882" s="338" t="s">
        <v>705</v>
      </c>
      <c r="E4882" s="336" t="s">
        <v>704</v>
      </c>
      <c r="F4882" s="338"/>
      <c r="G4882" s="338" t="s">
        <v>413</v>
      </c>
      <c r="H4882" s="338" t="s">
        <v>412</v>
      </c>
      <c r="I4882" s="338" t="s">
        <v>411</v>
      </c>
      <c r="J4882" s="339"/>
      <c r="K4882" s="339"/>
      <c r="L4882" s="339" t="s">
        <v>409</v>
      </c>
      <c r="M4882" s="339" t="s">
        <v>409</v>
      </c>
      <c r="N4882" s="338" t="s">
        <v>417</v>
      </c>
      <c r="O4882" s="338" t="s">
        <v>409</v>
      </c>
      <c r="P4882" s="338" t="s">
        <v>482</v>
      </c>
    </row>
    <row r="4883" spans="2:16" x14ac:dyDescent="0.25">
      <c r="B4883" s="336" t="s">
        <v>416</v>
      </c>
      <c r="C4883" s="337">
        <v>38314</v>
      </c>
      <c r="D4883" s="338" t="s">
        <v>703</v>
      </c>
      <c r="E4883" s="336" t="s">
        <v>669</v>
      </c>
      <c r="F4883" s="338" t="s">
        <v>702</v>
      </c>
      <c r="G4883" s="338">
        <v>22</v>
      </c>
      <c r="H4883" s="338" t="s">
        <v>425</v>
      </c>
      <c r="I4883" s="338" t="s">
        <v>411</v>
      </c>
      <c r="J4883" s="339"/>
      <c r="K4883" s="339"/>
      <c r="L4883" s="339">
        <v>0.65929899999999997</v>
      </c>
      <c r="M4883" s="339">
        <v>6.8302699999999996</v>
      </c>
      <c r="N4883" s="338"/>
      <c r="O4883" s="338" t="s">
        <v>417</v>
      </c>
      <c r="P4883" s="338"/>
    </row>
    <row r="4884" spans="2:16" x14ac:dyDescent="0.25">
      <c r="B4884" s="336" t="s">
        <v>416</v>
      </c>
      <c r="C4884" s="337">
        <v>38313</v>
      </c>
      <c r="D4884" s="338" t="s">
        <v>701</v>
      </c>
      <c r="E4884" s="336" t="s">
        <v>514</v>
      </c>
      <c r="F4884" s="338" t="s">
        <v>700</v>
      </c>
      <c r="G4884" s="338" t="s">
        <v>413</v>
      </c>
      <c r="H4884" s="338" t="s">
        <v>412</v>
      </c>
      <c r="I4884" s="338" t="s">
        <v>411</v>
      </c>
      <c r="J4884" s="339"/>
      <c r="K4884" s="339"/>
      <c r="L4884" s="339"/>
      <c r="M4884" s="339"/>
      <c r="N4884" s="338" t="s">
        <v>417</v>
      </c>
      <c r="O4884" s="338" t="s">
        <v>417</v>
      </c>
      <c r="P4884" s="338"/>
    </row>
    <row r="4885" spans="2:16" x14ac:dyDescent="0.25">
      <c r="B4885" s="336" t="s">
        <v>416</v>
      </c>
      <c r="C4885" s="337">
        <v>38313</v>
      </c>
      <c r="D4885" s="338" t="s">
        <v>699</v>
      </c>
      <c r="E4885" s="336" t="s">
        <v>698</v>
      </c>
      <c r="F4885" s="338" t="s">
        <v>697</v>
      </c>
      <c r="G4885" s="338">
        <v>2.8</v>
      </c>
      <c r="H4885" s="338" t="s">
        <v>696</v>
      </c>
      <c r="I4885" s="338" t="s">
        <v>411</v>
      </c>
      <c r="J4885" s="339"/>
      <c r="K4885" s="339"/>
      <c r="L4885" s="339"/>
      <c r="M4885" s="339"/>
      <c r="N4885" s="338" t="s">
        <v>487</v>
      </c>
      <c r="O4885" s="338" t="s">
        <v>443</v>
      </c>
      <c r="P4885" s="338" t="s">
        <v>410</v>
      </c>
    </row>
    <row r="4886" spans="2:16" x14ac:dyDescent="0.25">
      <c r="B4886" s="336" t="s">
        <v>416</v>
      </c>
      <c r="C4886" s="337">
        <v>38313</v>
      </c>
      <c r="D4886" s="338" t="s">
        <v>695</v>
      </c>
      <c r="E4886" s="336" t="s">
        <v>694</v>
      </c>
      <c r="F4886" s="338" t="s">
        <v>693</v>
      </c>
      <c r="G4886" s="338">
        <v>0.56999999999999995</v>
      </c>
      <c r="H4886" s="338" t="s">
        <v>425</v>
      </c>
      <c r="I4886" s="338" t="s">
        <v>411</v>
      </c>
      <c r="J4886" s="339"/>
      <c r="K4886" s="339"/>
      <c r="L4886" s="339"/>
      <c r="M4886" s="339"/>
      <c r="N4886" s="338"/>
      <c r="O4886" s="338" t="s">
        <v>417</v>
      </c>
      <c r="P4886" s="338" t="s">
        <v>417</v>
      </c>
    </row>
    <row r="4887" spans="2:16" x14ac:dyDescent="0.25">
      <c r="B4887" s="336" t="s">
        <v>416</v>
      </c>
      <c r="C4887" s="337">
        <v>38310</v>
      </c>
      <c r="D4887" s="338" t="s">
        <v>692</v>
      </c>
      <c r="E4887" s="336" t="s">
        <v>691</v>
      </c>
      <c r="F4887" s="338"/>
      <c r="G4887" s="338" t="s">
        <v>413</v>
      </c>
      <c r="H4887" s="338" t="s">
        <v>412</v>
      </c>
      <c r="I4887" s="338" t="s">
        <v>411</v>
      </c>
      <c r="J4887" s="339"/>
      <c r="K4887" s="339"/>
      <c r="L4887" s="339" t="s">
        <v>409</v>
      </c>
      <c r="M4887" s="339" t="s">
        <v>409</v>
      </c>
      <c r="N4887" s="338"/>
      <c r="O4887" s="338" t="s">
        <v>409</v>
      </c>
      <c r="P4887" s="338" t="s">
        <v>410</v>
      </c>
    </row>
    <row r="4888" spans="2:16" x14ac:dyDescent="0.25">
      <c r="B4888" s="336" t="s">
        <v>416</v>
      </c>
      <c r="C4888" s="337">
        <v>38310</v>
      </c>
      <c r="D4888" s="338" t="s">
        <v>690</v>
      </c>
      <c r="E4888" s="336" t="s">
        <v>689</v>
      </c>
      <c r="F4888" s="338"/>
      <c r="G4888" s="338">
        <v>1012.49</v>
      </c>
      <c r="H4888" s="338" t="s">
        <v>425</v>
      </c>
      <c r="I4888" s="338" t="s">
        <v>411</v>
      </c>
      <c r="J4888" s="339">
        <v>0.54488099999999995</v>
      </c>
      <c r="K4888" s="339">
        <v>4.7083000000000004</v>
      </c>
      <c r="L4888" s="339" t="s">
        <v>409</v>
      </c>
      <c r="M4888" s="339" t="s">
        <v>409</v>
      </c>
      <c r="N4888" s="338" t="s">
        <v>417</v>
      </c>
      <c r="O4888" s="338" t="s">
        <v>409</v>
      </c>
      <c r="P4888" s="338" t="s">
        <v>417</v>
      </c>
    </row>
    <row r="4889" spans="2:16" x14ac:dyDescent="0.25">
      <c r="B4889" s="336" t="s">
        <v>416</v>
      </c>
      <c r="C4889" s="337">
        <v>38309</v>
      </c>
      <c r="D4889" s="338" t="s">
        <v>688</v>
      </c>
      <c r="E4889" s="336" t="s">
        <v>687</v>
      </c>
      <c r="F4889" s="338"/>
      <c r="G4889" s="338">
        <v>286.61</v>
      </c>
      <c r="H4889" s="338" t="s">
        <v>336</v>
      </c>
      <c r="I4889" s="338" t="s">
        <v>411</v>
      </c>
      <c r="J4889" s="339"/>
      <c r="K4889" s="339"/>
      <c r="L4889" s="339" t="s">
        <v>409</v>
      </c>
      <c r="M4889" s="339" t="s">
        <v>409</v>
      </c>
      <c r="N4889" s="338" t="s">
        <v>417</v>
      </c>
      <c r="O4889" s="338" t="s">
        <v>409</v>
      </c>
      <c r="P4889" s="338" t="s">
        <v>410</v>
      </c>
    </row>
    <row r="4890" spans="2:16" x14ac:dyDescent="0.25">
      <c r="B4890" s="336" t="s">
        <v>416</v>
      </c>
      <c r="C4890" s="337">
        <v>38309</v>
      </c>
      <c r="D4890" s="338" t="s">
        <v>686</v>
      </c>
      <c r="E4890" s="336" t="s">
        <v>656</v>
      </c>
      <c r="F4890" s="338" t="s">
        <v>685</v>
      </c>
      <c r="G4890" s="338">
        <v>475</v>
      </c>
      <c r="H4890" s="338" t="s">
        <v>425</v>
      </c>
      <c r="I4890" s="338" t="s">
        <v>411</v>
      </c>
      <c r="J4890" s="339"/>
      <c r="K4890" s="339"/>
      <c r="L4890" s="339">
        <v>0.25489699999999998</v>
      </c>
      <c r="M4890" s="339">
        <v>4.8793300000000004</v>
      </c>
      <c r="N4890" s="338" t="s">
        <v>417</v>
      </c>
      <c r="O4890" s="338" t="s">
        <v>417</v>
      </c>
      <c r="P4890" s="338" t="s">
        <v>408</v>
      </c>
    </row>
    <row r="4891" spans="2:16" x14ac:dyDescent="0.25">
      <c r="B4891" s="336" t="s">
        <v>416</v>
      </c>
      <c r="C4891" s="337">
        <v>38309</v>
      </c>
      <c r="D4891" s="338" t="s">
        <v>684</v>
      </c>
      <c r="E4891" s="336" t="s">
        <v>683</v>
      </c>
      <c r="F4891" s="338" t="s">
        <v>682</v>
      </c>
      <c r="G4891" s="338">
        <v>12.8</v>
      </c>
      <c r="H4891" s="338" t="s">
        <v>425</v>
      </c>
      <c r="I4891" s="338" t="s">
        <v>411</v>
      </c>
      <c r="J4891" s="339"/>
      <c r="K4891" s="339"/>
      <c r="L4891" s="339">
        <v>0.75620699999999996</v>
      </c>
      <c r="M4891" s="339">
        <v>37.798999999999999</v>
      </c>
      <c r="N4891" s="338"/>
      <c r="O4891" s="338" t="s">
        <v>417</v>
      </c>
      <c r="P4891" s="338" t="s">
        <v>443</v>
      </c>
    </row>
    <row r="4892" spans="2:16" x14ac:dyDescent="0.25">
      <c r="B4892" s="336" t="s">
        <v>416</v>
      </c>
      <c r="C4892" s="337">
        <v>38308</v>
      </c>
      <c r="D4892" s="338" t="s">
        <v>681</v>
      </c>
      <c r="E4892" s="336" t="s">
        <v>680</v>
      </c>
      <c r="F4892" s="338" t="s">
        <v>679</v>
      </c>
      <c r="G4892" s="338">
        <v>320</v>
      </c>
      <c r="H4892" s="338" t="s">
        <v>425</v>
      </c>
      <c r="I4892" s="338" t="s">
        <v>411</v>
      </c>
      <c r="J4892" s="339"/>
      <c r="K4892" s="339"/>
      <c r="L4892" s="339"/>
      <c r="M4892" s="339"/>
      <c r="N4892" s="338" t="s">
        <v>417</v>
      </c>
      <c r="O4892" s="338" t="s">
        <v>417</v>
      </c>
      <c r="P4892" s="338" t="s">
        <v>417</v>
      </c>
    </row>
    <row r="4893" spans="2:16" x14ac:dyDescent="0.25">
      <c r="B4893" s="336" t="s">
        <v>416</v>
      </c>
      <c r="C4893" s="337">
        <v>38308</v>
      </c>
      <c r="D4893" s="338" t="s">
        <v>678</v>
      </c>
      <c r="E4893" s="336" t="s">
        <v>677</v>
      </c>
      <c r="F4893" s="338"/>
      <c r="G4893" s="338">
        <v>148</v>
      </c>
      <c r="H4893" s="338" t="s">
        <v>425</v>
      </c>
      <c r="I4893" s="338" t="s">
        <v>411</v>
      </c>
      <c r="J4893" s="339">
        <v>0.39293699999999998</v>
      </c>
      <c r="K4893" s="339">
        <v>9.2878100000000003</v>
      </c>
      <c r="L4893" s="339" t="s">
        <v>409</v>
      </c>
      <c r="M4893" s="339" t="s">
        <v>409</v>
      </c>
      <c r="N4893" s="338" t="s">
        <v>410</v>
      </c>
      <c r="O4893" s="338" t="s">
        <v>409</v>
      </c>
      <c r="P4893" s="338" t="s">
        <v>443</v>
      </c>
    </row>
    <row r="4894" spans="2:16" x14ac:dyDescent="0.25">
      <c r="B4894" s="336" t="s">
        <v>416</v>
      </c>
      <c r="C4894" s="337">
        <v>38308</v>
      </c>
      <c r="D4894" s="338" t="s">
        <v>676</v>
      </c>
      <c r="E4894" s="336" t="s">
        <v>675</v>
      </c>
      <c r="F4894" s="338" t="s">
        <v>674</v>
      </c>
      <c r="G4894" s="338" t="s">
        <v>413</v>
      </c>
      <c r="H4894" s="338" t="s">
        <v>412</v>
      </c>
      <c r="I4894" s="338" t="s">
        <v>411</v>
      </c>
      <c r="J4894" s="339"/>
      <c r="K4894" s="339"/>
      <c r="L4894" s="339"/>
      <c r="M4894" s="339"/>
      <c r="N4894" s="338"/>
      <c r="O4894" s="338" t="s">
        <v>417</v>
      </c>
      <c r="P4894" s="338" t="s">
        <v>432</v>
      </c>
    </row>
    <row r="4895" spans="2:16" x14ac:dyDescent="0.25">
      <c r="B4895" s="336" t="s">
        <v>416</v>
      </c>
      <c r="C4895" s="337">
        <v>38308</v>
      </c>
      <c r="D4895" s="338" t="s">
        <v>673</v>
      </c>
      <c r="E4895" s="336" t="s">
        <v>672</v>
      </c>
      <c r="F4895" s="338"/>
      <c r="G4895" s="338">
        <v>13056.74</v>
      </c>
      <c r="H4895" s="338" t="s">
        <v>671</v>
      </c>
      <c r="I4895" s="338" t="s">
        <v>411</v>
      </c>
      <c r="J4895" s="339">
        <v>0.37001499999999998</v>
      </c>
      <c r="K4895" s="339">
        <v>7.4496200000000004</v>
      </c>
      <c r="L4895" s="339" t="s">
        <v>409</v>
      </c>
      <c r="M4895" s="339" t="s">
        <v>409</v>
      </c>
      <c r="N4895" s="338" t="s">
        <v>417</v>
      </c>
      <c r="O4895" s="338" t="s">
        <v>409</v>
      </c>
      <c r="P4895" s="338" t="s">
        <v>417</v>
      </c>
    </row>
    <row r="4896" spans="2:16" x14ac:dyDescent="0.25">
      <c r="B4896" s="336" t="s">
        <v>459</v>
      </c>
      <c r="C4896" s="337">
        <v>38307</v>
      </c>
      <c r="D4896" s="338" t="s">
        <v>670</v>
      </c>
      <c r="E4896" s="336" t="s">
        <v>669</v>
      </c>
      <c r="F4896" s="338" t="s">
        <v>668</v>
      </c>
      <c r="G4896" s="338">
        <v>6.6</v>
      </c>
      <c r="H4896" s="338" t="s">
        <v>425</v>
      </c>
      <c r="I4896" s="338" t="s">
        <v>411</v>
      </c>
      <c r="J4896" s="339"/>
      <c r="K4896" s="339"/>
      <c r="L4896" s="339">
        <v>15.6881</v>
      </c>
      <c r="M4896" s="339">
        <v>508.76499999999999</v>
      </c>
      <c r="N4896" s="338" t="s">
        <v>417</v>
      </c>
      <c r="O4896" s="338" t="s">
        <v>443</v>
      </c>
      <c r="P4896" s="338"/>
    </row>
    <row r="4897" spans="2:16" x14ac:dyDescent="0.25">
      <c r="B4897" s="336" t="s">
        <v>416</v>
      </c>
      <c r="C4897" s="337">
        <v>38307</v>
      </c>
      <c r="D4897" s="338" t="s">
        <v>667</v>
      </c>
      <c r="E4897" s="336" t="s">
        <v>666</v>
      </c>
      <c r="F4897" s="338"/>
      <c r="G4897" s="338" t="s">
        <v>413</v>
      </c>
      <c r="H4897" s="338" t="s">
        <v>425</v>
      </c>
      <c r="I4897" s="338" t="s">
        <v>411</v>
      </c>
      <c r="J4897" s="339"/>
      <c r="K4897" s="339"/>
      <c r="L4897" s="339" t="s">
        <v>409</v>
      </c>
      <c r="M4897" s="339" t="s">
        <v>409</v>
      </c>
      <c r="N4897" s="338"/>
      <c r="O4897" s="338" t="s">
        <v>409</v>
      </c>
      <c r="P4897" s="338" t="s">
        <v>443</v>
      </c>
    </row>
    <row r="4898" spans="2:16" x14ac:dyDescent="0.25">
      <c r="B4898" s="336" t="s">
        <v>416</v>
      </c>
      <c r="C4898" s="337">
        <v>38307</v>
      </c>
      <c r="D4898" s="338" t="s">
        <v>665</v>
      </c>
      <c r="E4898" s="336" t="s">
        <v>664</v>
      </c>
      <c r="F4898" s="338"/>
      <c r="G4898" s="338" t="s">
        <v>413</v>
      </c>
      <c r="H4898" s="338" t="s">
        <v>425</v>
      </c>
      <c r="I4898" s="338" t="s">
        <v>411</v>
      </c>
      <c r="J4898" s="339">
        <v>1.2094</v>
      </c>
      <c r="K4898" s="339">
        <v>59.3718</v>
      </c>
      <c r="L4898" s="339" t="s">
        <v>409</v>
      </c>
      <c r="M4898" s="339" t="s">
        <v>409</v>
      </c>
      <c r="N4898" s="338" t="s">
        <v>417</v>
      </c>
      <c r="O4898" s="338" t="s">
        <v>409</v>
      </c>
      <c r="P4898" s="338" t="s">
        <v>417</v>
      </c>
    </row>
    <row r="4899" spans="2:16" x14ac:dyDescent="0.25">
      <c r="B4899" s="336" t="s">
        <v>416</v>
      </c>
      <c r="C4899" s="337">
        <v>38307</v>
      </c>
      <c r="D4899" s="338" t="s">
        <v>663</v>
      </c>
      <c r="E4899" s="336" t="s">
        <v>598</v>
      </c>
      <c r="F4899" s="338"/>
      <c r="G4899" s="338" t="s">
        <v>413</v>
      </c>
      <c r="H4899" s="338" t="s">
        <v>412</v>
      </c>
      <c r="I4899" s="338" t="s">
        <v>411</v>
      </c>
      <c r="J4899" s="339"/>
      <c r="K4899" s="339"/>
      <c r="L4899" s="339" t="s">
        <v>409</v>
      </c>
      <c r="M4899" s="339" t="s">
        <v>409</v>
      </c>
      <c r="N4899" s="338"/>
      <c r="O4899" s="338" t="s">
        <v>409</v>
      </c>
      <c r="P4899" s="338" t="s">
        <v>417</v>
      </c>
    </row>
    <row r="4900" spans="2:16" x14ac:dyDescent="0.25">
      <c r="B4900" s="336" t="s">
        <v>416</v>
      </c>
      <c r="C4900" s="337">
        <v>38307</v>
      </c>
      <c r="D4900" s="338" t="s">
        <v>662</v>
      </c>
      <c r="E4900" s="336" t="s">
        <v>661</v>
      </c>
      <c r="F4900" s="338" t="s">
        <v>660</v>
      </c>
      <c r="G4900" s="338">
        <v>82</v>
      </c>
      <c r="H4900" s="338" t="s">
        <v>425</v>
      </c>
      <c r="I4900" s="338" t="s">
        <v>411</v>
      </c>
      <c r="J4900" s="339"/>
      <c r="K4900" s="339"/>
      <c r="L4900" s="339"/>
      <c r="M4900" s="339"/>
      <c r="N4900" s="338"/>
      <c r="O4900" s="338" t="s">
        <v>417</v>
      </c>
      <c r="P4900" s="338" t="s">
        <v>443</v>
      </c>
    </row>
    <row r="4901" spans="2:16" x14ac:dyDescent="0.25">
      <c r="B4901" s="336" t="s">
        <v>416</v>
      </c>
      <c r="C4901" s="337">
        <v>38306</v>
      </c>
      <c r="D4901" s="338" t="s">
        <v>659</v>
      </c>
      <c r="E4901" s="336" t="s">
        <v>629</v>
      </c>
      <c r="F4901" s="338"/>
      <c r="G4901" s="338">
        <v>0.12</v>
      </c>
      <c r="H4901" s="338" t="s">
        <v>425</v>
      </c>
      <c r="I4901" s="338" t="s">
        <v>411</v>
      </c>
      <c r="J4901" s="339"/>
      <c r="K4901" s="339"/>
      <c r="L4901" s="339" t="s">
        <v>409</v>
      </c>
      <c r="M4901" s="339" t="s">
        <v>409</v>
      </c>
      <c r="N4901" s="338" t="s">
        <v>417</v>
      </c>
      <c r="O4901" s="338" t="s">
        <v>409</v>
      </c>
      <c r="P4901" s="338" t="s">
        <v>417</v>
      </c>
    </row>
    <row r="4902" spans="2:16" x14ac:dyDescent="0.25">
      <c r="B4902" s="336" t="s">
        <v>416</v>
      </c>
      <c r="C4902" s="337">
        <v>38306</v>
      </c>
      <c r="D4902" s="338" t="s">
        <v>658</v>
      </c>
      <c r="E4902" s="336" t="s">
        <v>656</v>
      </c>
      <c r="F4902" s="338" t="s">
        <v>657</v>
      </c>
      <c r="G4902" s="338" t="s">
        <v>413</v>
      </c>
      <c r="H4902" s="338" t="s">
        <v>412</v>
      </c>
      <c r="I4902" s="338" t="s">
        <v>411</v>
      </c>
      <c r="J4902" s="339"/>
      <c r="K4902" s="339"/>
      <c r="L4902" s="339"/>
      <c r="M4902" s="339"/>
      <c r="N4902" s="338"/>
      <c r="O4902" s="338" t="s">
        <v>417</v>
      </c>
      <c r="P4902" s="338" t="s">
        <v>408</v>
      </c>
    </row>
    <row r="4903" spans="2:16" x14ac:dyDescent="0.25">
      <c r="B4903" s="336" t="s">
        <v>416</v>
      </c>
      <c r="C4903" s="337">
        <v>38306</v>
      </c>
      <c r="D4903" s="338" t="s">
        <v>146</v>
      </c>
      <c r="E4903" s="336" t="s">
        <v>656</v>
      </c>
      <c r="F4903" s="338" t="s">
        <v>655</v>
      </c>
      <c r="G4903" s="338" t="s">
        <v>413</v>
      </c>
      <c r="H4903" s="338" t="s">
        <v>412</v>
      </c>
      <c r="I4903" s="338" t="s">
        <v>411</v>
      </c>
      <c r="J4903" s="339"/>
      <c r="K4903" s="339"/>
      <c r="L4903" s="339"/>
      <c r="M4903" s="339"/>
      <c r="N4903" s="338"/>
      <c r="O4903" s="338" t="s">
        <v>417</v>
      </c>
      <c r="P4903" s="338" t="s">
        <v>408</v>
      </c>
    </row>
    <row r="4904" spans="2:16" x14ac:dyDescent="0.25">
      <c r="B4904" s="336" t="s">
        <v>416</v>
      </c>
      <c r="C4904" s="337">
        <v>38306</v>
      </c>
      <c r="D4904" s="338" t="s">
        <v>654</v>
      </c>
      <c r="E4904" s="336" t="s">
        <v>653</v>
      </c>
      <c r="F4904" s="338" t="s">
        <v>652</v>
      </c>
      <c r="G4904" s="338">
        <v>208.3</v>
      </c>
      <c r="H4904" s="338" t="s">
        <v>425</v>
      </c>
      <c r="I4904" s="338" t="s">
        <v>411</v>
      </c>
      <c r="J4904" s="339"/>
      <c r="K4904" s="339"/>
      <c r="L4904" s="339"/>
      <c r="M4904" s="339"/>
      <c r="N4904" s="338" t="s">
        <v>417</v>
      </c>
      <c r="O4904" s="338" t="s">
        <v>443</v>
      </c>
      <c r="P4904" s="338" t="s">
        <v>417</v>
      </c>
    </row>
    <row r="4905" spans="2:16" x14ac:dyDescent="0.25">
      <c r="B4905" s="336" t="s">
        <v>416</v>
      </c>
      <c r="C4905" s="337">
        <v>38306</v>
      </c>
      <c r="D4905" s="338" t="s">
        <v>651</v>
      </c>
      <c r="E4905" s="336" t="s">
        <v>650</v>
      </c>
      <c r="F4905" s="338" t="s">
        <v>649</v>
      </c>
      <c r="G4905" s="338" t="s">
        <v>413</v>
      </c>
      <c r="H4905" s="338" t="s">
        <v>412</v>
      </c>
      <c r="I4905" s="338" t="s">
        <v>411</v>
      </c>
      <c r="J4905" s="339"/>
      <c r="K4905" s="339"/>
      <c r="L4905" s="339"/>
      <c r="M4905" s="339"/>
      <c r="N4905" s="338"/>
      <c r="O4905" s="338" t="s">
        <v>417</v>
      </c>
      <c r="P4905" s="338" t="s">
        <v>417</v>
      </c>
    </row>
    <row r="4906" spans="2:16" x14ac:dyDescent="0.25">
      <c r="B4906" s="336" t="s">
        <v>416</v>
      </c>
      <c r="C4906" s="337">
        <v>38303</v>
      </c>
      <c r="D4906" s="338" t="s">
        <v>648</v>
      </c>
      <c r="E4906" s="336" t="s">
        <v>647</v>
      </c>
      <c r="F4906" s="338" t="s">
        <v>646</v>
      </c>
      <c r="G4906" s="338">
        <v>125.95</v>
      </c>
      <c r="H4906" s="338" t="s">
        <v>336</v>
      </c>
      <c r="I4906" s="338" t="s">
        <v>411</v>
      </c>
      <c r="J4906" s="339"/>
      <c r="K4906" s="339"/>
      <c r="L4906" s="339"/>
      <c r="M4906" s="339"/>
      <c r="N4906" s="338"/>
      <c r="O4906" s="338" t="s">
        <v>443</v>
      </c>
      <c r="P4906" s="338" t="s">
        <v>417</v>
      </c>
    </row>
    <row r="4907" spans="2:16" x14ac:dyDescent="0.25">
      <c r="B4907" s="336" t="s">
        <v>416</v>
      </c>
      <c r="C4907" s="337">
        <v>38302</v>
      </c>
      <c r="D4907" s="338" t="s">
        <v>645</v>
      </c>
      <c r="E4907" s="336" t="s">
        <v>644</v>
      </c>
      <c r="F4907" s="338"/>
      <c r="G4907" s="338">
        <v>356.19</v>
      </c>
      <c r="H4907" s="338" t="s">
        <v>425</v>
      </c>
      <c r="I4907" s="338" t="s">
        <v>411</v>
      </c>
      <c r="J4907" s="339">
        <v>0.76237900000000003</v>
      </c>
      <c r="K4907" s="339">
        <v>7.69808</v>
      </c>
      <c r="L4907" s="339" t="s">
        <v>409</v>
      </c>
      <c r="M4907" s="339" t="s">
        <v>409</v>
      </c>
      <c r="N4907" s="338" t="s">
        <v>417</v>
      </c>
      <c r="O4907" s="338" t="s">
        <v>409</v>
      </c>
      <c r="P4907" s="338" t="s">
        <v>417</v>
      </c>
    </row>
    <row r="4908" spans="2:16" x14ac:dyDescent="0.25">
      <c r="B4908" s="336" t="s">
        <v>416</v>
      </c>
      <c r="C4908" s="337">
        <v>38302</v>
      </c>
      <c r="D4908" s="338" t="s">
        <v>643</v>
      </c>
      <c r="E4908" s="336" t="s">
        <v>642</v>
      </c>
      <c r="F4908" s="338" t="s">
        <v>641</v>
      </c>
      <c r="G4908" s="338" t="s">
        <v>413</v>
      </c>
      <c r="H4908" s="338" t="s">
        <v>412</v>
      </c>
      <c r="I4908" s="338" t="s">
        <v>411</v>
      </c>
      <c r="J4908" s="339"/>
      <c r="K4908" s="339"/>
      <c r="L4908" s="339"/>
      <c r="M4908" s="339"/>
      <c r="N4908" s="338"/>
      <c r="O4908" s="338" t="s">
        <v>417</v>
      </c>
      <c r="P4908" s="338" t="s">
        <v>443</v>
      </c>
    </row>
    <row r="4909" spans="2:16" x14ac:dyDescent="0.25">
      <c r="B4909" s="336" t="s">
        <v>416</v>
      </c>
      <c r="C4909" s="337">
        <v>38301</v>
      </c>
      <c r="D4909" s="338" t="s">
        <v>640</v>
      </c>
      <c r="E4909" s="336" t="s">
        <v>639</v>
      </c>
      <c r="F4909" s="338" t="s">
        <v>638</v>
      </c>
      <c r="G4909" s="338">
        <v>3.24</v>
      </c>
      <c r="H4909" s="338" t="s">
        <v>412</v>
      </c>
      <c r="I4909" s="338" t="s">
        <v>411</v>
      </c>
      <c r="J4909" s="339"/>
      <c r="K4909" s="339"/>
      <c r="L4909" s="339"/>
      <c r="M4909" s="339"/>
      <c r="N4909" s="338"/>
      <c r="O4909" s="338" t="s">
        <v>417</v>
      </c>
      <c r="P4909" s="338" t="s">
        <v>417</v>
      </c>
    </row>
    <row r="4910" spans="2:16" x14ac:dyDescent="0.25">
      <c r="B4910" s="336" t="s">
        <v>416</v>
      </c>
      <c r="C4910" s="337">
        <v>38301</v>
      </c>
      <c r="D4910" s="338" t="s">
        <v>637</v>
      </c>
      <c r="E4910" s="336" t="s">
        <v>636</v>
      </c>
      <c r="F4910" s="338"/>
      <c r="G4910" s="338">
        <v>48.86</v>
      </c>
      <c r="H4910" s="338" t="s">
        <v>425</v>
      </c>
      <c r="I4910" s="338" t="s">
        <v>411</v>
      </c>
      <c r="J4910" s="339">
        <v>0.47065299999999999</v>
      </c>
      <c r="K4910" s="339"/>
      <c r="L4910" s="339" t="s">
        <v>409</v>
      </c>
      <c r="M4910" s="339" t="s">
        <v>409</v>
      </c>
      <c r="N4910" s="338" t="s">
        <v>417</v>
      </c>
      <c r="O4910" s="338" t="s">
        <v>409</v>
      </c>
      <c r="P4910" s="338" t="s">
        <v>417</v>
      </c>
    </row>
    <row r="4911" spans="2:16" x14ac:dyDescent="0.25">
      <c r="B4911" s="336" t="s">
        <v>416</v>
      </c>
      <c r="C4911" s="337">
        <v>38301</v>
      </c>
      <c r="D4911" s="338" t="s">
        <v>635</v>
      </c>
      <c r="E4911" s="336" t="s">
        <v>634</v>
      </c>
      <c r="F4911" s="338" t="s">
        <v>633</v>
      </c>
      <c r="G4911" s="338" t="s">
        <v>413</v>
      </c>
      <c r="H4911" s="338" t="s">
        <v>425</v>
      </c>
      <c r="I4911" s="338" t="s">
        <v>411</v>
      </c>
      <c r="J4911" s="339"/>
      <c r="K4911" s="339"/>
      <c r="L4911" s="339"/>
      <c r="M4911" s="339"/>
      <c r="N4911" s="338"/>
      <c r="O4911" s="338" t="s">
        <v>410</v>
      </c>
      <c r="P4911" s="338" t="s">
        <v>410</v>
      </c>
    </row>
    <row r="4912" spans="2:16" x14ac:dyDescent="0.25">
      <c r="B4912" s="336" t="s">
        <v>416</v>
      </c>
      <c r="C4912" s="337">
        <v>38301</v>
      </c>
      <c r="D4912" s="338" t="s">
        <v>632</v>
      </c>
      <c r="E4912" s="336" t="s">
        <v>631</v>
      </c>
      <c r="F4912" s="338"/>
      <c r="G4912" s="338">
        <v>16.079999999999998</v>
      </c>
      <c r="H4912" s="338" t="s">
        <v>425</v>
      </c>
      <c r="I4912" s="338" t="s">
        <v>411</v>
      </c>
      <c r="J4912" s="339"/>
      <c r="K4912" s="339"/>
      <c r="L4912" s="339" t="s">
        <v>409</v>
      </c>
      <c r="M4912" s="339" t="s">
        <v>409</v>
      </c>
      <c r="N4912" s="338" t="s">
        <v>417</v>
      </c>
      <c r="O4912" s="338" t="s">
        <v>409</v>
      </c>
      <c r="P4912" s="338" t="s">
        <v>417</v>
      </c>
    </row>
    <row r="4913" spans="2:16" x14ac:dyDescent="0.25">
      <c r="B4913" s="336" t="s">
        <v>416</v>
      </c>
      <c r="C4913" s="337">
        <v>38300</v>
      </c>
      <c r="D4913" s="338" t="s">
        <v>630</v>
      </c>
      <c r="E4913" s="336" t="s">
        <v>629</v>
      </c>
      <c r="F4913" s="338"/>
      <c r="G4913" s="338" t="s">
        <v>413</v>
      </c>
      <c r="H4913" s="338" t="s">
        <v>412</v>
      </c>
      <c r="I4913" s="338" t="s">
        <v>411</v>
      </c>
      <c r="J4913" s="339"/>
      <c r="K4913" s="339"/>
      <c r="L4913" s="339" t="s">
        <v>409</v>
      </c>
      <c r="M4913" s="339" t="s">
        <v>409</v>
      </c>
      <c r="N4913" s="338"/>
      <c r="O4913" s="338" t="s">
        <v>409</v>
      </c>
      <c r="P4913" s="338" t="s">
        <v>417</v>
      </c>
    </row>
    <row r="4914" spans="2:16" x14ac:dyDescent="0.25">
      <c r="B4914" s="336" t="s">
        <v>416</v>
      </c>
      <c r="C4914" s="337">
        <v>38299</v>
      </c>
      <c r="D4914" s="338" t="s">
        <v>628</v>
      </c>
      <c r="E4914" s="336" t="s">
        <v>627</v>
      </c>
      <c r="F4914" s="338"/>
      <c r="G4914" s="338" t="s">
        <v>413</v>
      </c>
      <c r="H4914" s="338" t="s">
        <v>507</v>
      </c>
      <c r="I4914" s="338" t="s">
        <v>411</v>
      </c>
      <c r="J4914" s="339">
        <v>0.306782</v>
      </c>
      <c r="K4914" s="339">
        <v>7.5113599999999998</v>
      </c>
      <c r="L4914" s="339" t="s">
        <v>409</v>
      </c>
      <c r="M4914" s="339" t="s">
        <v>409</v>
      </c>
      <c r="N4914" s="338" t="s">
        <v>417</v>
      </c>
      <c r="O4914" s="338" t="s">
        <v>409</v>
      </c>
      <c r="P4914" s="338"/>
    </row>
    <row r="4915" spans="2:16" x14ac:dyDescent="0.25">
      <c r="B4915" s="336" t="s">
        <v>416</v>
      </c>
      <c r="C4915" s="337">
        <v>38299</v>
      </c>
      <c r="D4915" s="338" t="s">
        <v>626</v>
      </c>
      <c r="E4915" s="336" t="s">
        <v>625</v>
      </c>
      <c r="F4915" s="338" t="s">
        <v>624</v>
      </c>
      <c r="G4915" s="338" t="s">
        <v>413</v>
      </c>
      <c r="H4915" s="338" t="s">
        <v>412</v>
      </c>
      <c r="I4915" s="338" t="s">
        <v>411</v>
      </c>
      <c r="J4915" s="339"/>
      <c r="K4915" s="339"/>
      <c r="L4915" s="339"/>
      <c r="M4915" s="339"/>
      <c r="N4915" s="338" t="s">
        <v>417</v>
      </c>
      <c r="O4915" s="338" t="s">
        <v>417</v>
      </c>
      <c r="P4915" s="338" t="s">
        <v>443</v>
      </c>
    </row>
    <row r="4916" spans="2:16" x14ac:dyDescent="0.25">
      <c r="B4916" s="336" t="s">
        <v>416</v>
      </c>
      <c r="C4916" s="337">
        <v>38299</v>
      </c>
      <c r="D4916" s="338" t="s">
        <v>623</v>
      </c>
      <c r="E4916" s="336" t="s">
        <v>622</v>
      </c>
      <c r="F4916" s="338"/>
      <c r="G4916" s="338" t="s">
        <v>413</v>
      </c>
      <c r="H4916" s="338" t="s">
        <v>412</v>
      </c>
      <c r="I4916" s="338" t="s">
        <v>411</v>
      </c>
      <c r="J4916" s="339"/>
      <c r="K4916" s="339"/>
      <c r="L4916" s="339" t="s">
        <v>409</v>
      </c>
      <c r="M4916" s="339" t="s">
        <v>409</v>
      </c>
      <c r="N4916" s="338"/>
      <c r="O4916" s="338" t="s">
        <v>409</v>
      </c>
      <c r="P4916" s="338" t="s">
        <v>410</v>
      </c>
    </row>
    <row r="4917" spans="2:16" x14ac:dyDescent="0.25">
      <c r="B4917" s="336" t="s">
        <v>416</v>
      </c>
      <c r="C4917" s="337">
        <v>38299</v>
      </c>
      <c r="D4917" s="338" t="s">
        <v>621</v>
      </c>
      <c r="E4917" s="336" t="s">
        <v>620</v>
      </c>
      <c r="F4917" s="338"/>
      <c r="G4917" s="338" t="s">
        <v>413</v>
      </c>
      <c r="H4917" s="338" t="s">
        <v>412</v>
      </c>
      <c r="I4917" s="338" t="s">
        <v>411</v>
      </c>
      <c r="J4917" s="339"/>
      <c r="K4917" s="339"/>
      <c r="L4917" s="339" t="s">
        <v>409</v>
      </c>
      <c r="M4917" s="339" t="s">
        <v>409</v>
      </c>
      <c r="N4917" s="338" t="s">
        <v>417</v>
      </c>
      <c r="O4917" s="338" t="s">
        <v>409</v>
      </c>
      <c r="P4917" s="338" t="s">
        <v>432</v>
      </c>
    </row>
    <row r="4918" spans="2:16" x14ac:dyDescent="0.25">
      <c r="B4918" s="336" t="s">
        <v>416</v>
      </c>
      <c r="C4918" s="337">
        <v>38299</v>
      </c>
      <c r="D4918" s="338" t="s">
        <v>619</v>
      </c>
      <c r="E4918" s="336" t="s">
        <v>618</v>
      </c>
      <c r="F4918" s="338" t="s">
        <v>617</v>
      </c>
      <c r="G4918" s="338">
        <v>58.2</v>
      </c>
      <c r="H4918" s="338" t="s">
        <v>425</v>
      </c>
      <c r="I4918" s="338" t="s">
        <v>411</v>
      </c>
      <c r="J4918" s="339"/>
      <c r="K4918" s="339"/>
      <c r="L4918" s="339"/>
      <c r="M4918" s="339"/>
      <c r="N4918" s="338"/>
      <c r="O4918" s="338" t="s">
        <v>443</v>
      </c>
      <c r="P4918" s="338" t="s">
        <v>487</v>
      </c>
    </row>
    <row r="4919" spans="2:16" x14ac:dyDescent="0.25">
      <c r="B4919" s="336" t="s">
        <v>542</v>
      </c>
      <c r="C4919" s="337">
        <v>38296</v>
      </c>
      <c r="D4919" s="338" t="s">
        <v>616</v>
      </c>
      <c r="E4919" s="336" t="s">
        <v>539</v>
      </c>
      <c r="F4919" s="338"/>
      <c r="G4919" s="338">
        <v>19.29</v>
      </c>
      <c r="H4919" s="338"/>
      <c r="I4919" s="338" t="s">
        <v>411</v>
      </c>
      <c r="J4919" s="339">
        <v>0.41759600000000002</v>
      </c>
      <c r="K4919" s="339">
        <v>6.9364100000000004</v>
      </c>
      <c r="L4919" s="339" t="s">
        <v>409</v>
      </c>
      <c r="M4919" s="339" t="s">
        <v>409</v>
      </c>
      <c r="N4919" s="338" t="s">
        <v>417</v>
      </c>
      <c r="O4919" s="338" t="s">
        <v>409</v>
      </c>
      <c r="P4919" s="338" t="s">
        <v>417</v>
      </c>
    </row>
    <row r="4920" spans="2:16" x14ac:dyDescent="0.25">
      <c r="B4920" s="336" t="s">
        <v>542</v>
      </c>
      <c r="C4920" s="337">
        <v>38296</v>
      </c>
      <c r="D4920" s="338" t="s">
        <v>616</v>
      </c>
      <c r="E4920" s="336" t="s">
        <v>539</v>
      </c>
      <c r="F4920" s="338"/>
      <c r="G4920" s="338">
        <v>12.49</v>
      </c>
      <c r="H4920" s="338"/>
      <c r="I4920" s="338" t="s">
        <v>411</v>
      </c>
      <c r="J4920" s="339">
        <v>0.41759600000000002</v>
      </c>
      <c r="K4920" s="339">
        <v>6.9364100000000004</v>
      </c>
      <c r="L4920" s="339" t="s">
        <v>409</v>
      </c>
      <c r="M4920" s="339" t="s">
        <v>409</v>
      </c>
      <c r="N4920" s="338" t="s">
        <v>417</v>
      </c>
      <c r="O4920" s="338" t="s">
        <v>409</v>
      </c>
      <c r="P4920" s="338" t="s">
        <v>417</v>
      </c>
    </row>
    <row r="4921" spans="2:16" x14ac:dyDescent="0.25">
      <c r="B4921" s="336" t="s">
        <v>416</v>
      </c>
      <c r="C4921" s="337">
        <v>38296</v>
      </c>
      <c r="D4921" s="338" t="s">
        <v>615</v>
      </c>
      <c r="E4921" s="336" t="s">
        <v>614</v>
      </c>
      <c r="F4921" s="338" t="s">
        <v>613</v>
      </c>
      <c r="G4921" s="338" t="s">
        <v>413</v>
      </c>
      <c r="H4921" s="338" t="s">
        <v>412</v>
      </c>
      <c r="I4921" s="338" t="s">
        <v>411</v>
      </c>
      <c r="J4921" s="339"/>
      <c r="K4921" s="339"/>
      <c r="L4921" s="339"/>
      <c r="M4921" s="339"/>
      <c r="N4921" s="338" t="s">
        <v>612</v>
      </c>
      <c r="O4921" s="338" t="s">
        <v>417</v>
      </c>
      <c r="P4921" s="338" t="s">
        <v>417</v>
      </c>
    </row>
    <row r="4922" spans="2:16" x14ac:dyDescent="0.25">
      <c r="B4922" s="336" t="s">
        <v>416</v>
      </c>
      <c r="C4922" s="337">
        <v>38295</v>
      </c>
      <c r="D4922" s="338" t="s">
        <v>611</v>
      </c>
      <c r="E4922" s="336" t="s">
        <v>610</v>
      </c>
      <c r="F4922" s="338"/>
      <c r="G4922" s="338" t="s">
        <v>413</v>
      </c>
      <c r="H4922" s="338" t="s">
        <v>412</v>
      </c>
      <c r="I4922" s="338" t="s">
        <v>411</v>
      </c>
      <c r="J4922" s="339"/>
      <c r="K4922" s="339"/>
      <c r="L4922" s="339" t="s">
        <v>409</v>
      </c>
      <c r="M4922" s="339" t="s">
        <v>409</v>
      </c>
      <c r="N4922" s="338" t="s">
        <v>417</v>
      </c>
      <c r="O4922" s="338" t="s">
        <v>409</v>
      </c>
      <c r="P4922" s="338" t="s">
        <v>410</v>
      </c>
    </row>
    <row r="4923" spans="2:16" x14ac:dyDescent="0.25">
      <c r="B4923" s="336" t="s">
        <v>416</v>
      </c>
      <c r="C4923" s="337">
        <v>38295</v>
      </c>
      <c r="D4923" s="338" t="s">
        <v>609</v>
      </c>
      <c r="E4923" s="336" t="s">
        <v>608</v>
      </c>
      <c r="F4923" s="338"/>
      <c r="G4923" s="338" t="s">
        <v>413</v>
      </c>
      <c r="H4923" s="338" t="s">
        <v>412</v>
      </c>
      <c r="I4923" s="338" t="s">
        <v>411</v>
      </c>
      <c r="J4923" s="339"/>
      <c r="K4923" s="339"/>
      <c r="L4923" s="339" t="s">
        <v>409</v>
      </c>
      <c r="M4923" s="339" t="s">
        <v>409</v>
      </c>
      <c r="N4923" s="338" t="s">
        <v>417</v>
      </c>
      <c r="O4923" s="338" t="s">
        <v>409</v>
      </c>
      <c r="P4923" s="338" t="s">
        <v>487</v>
      </c>
    </row>
    <row r="4924" spans="2:16" x14ac:dyDescent="0.25">
      <c r="B4924" s="336" t="s">
        <v>416</v>
      </c>
      <c r="C4924" s="337">
        <v>38295</v>
      </c>
      <c r="D4924" s="338" t="s">
        <v>607</v>
      </c>
      <c r="E4924" s="336" t="s">
        <v>606</v>
      </c>
      <c r="F4924" s="338"/>
      <c r="G4924" s="338">
        <v>2.5</v>
      </c>
      <c r="H4924" s="338" t="s">
        <v>412</v>
      </c>
      <c r="I4924" s="338" t="s">
        <v>411</v>
      </c>
      <c r="J4924" s="339"/>
      <c r="K4924" s="339"/>
      <c r="L4924" s="339" t="s">
        <v>409</v>
      </c>
      <c r="M4924" s="339" t="s">
        <v>409</v>
      </c>
      <c r="N4924" s="338" t="s">
        <v>417</v>
      </c>
      <c r="O4924" s="338" t="s">
        <v>409</v>
      </c>
      <c r="P4924" s="338" t="s">
        <v>605</v>
      </c>
    </row>
    <row r="4925" spans="2:16" x14ac:dyDescent="0.25">
      <c r="B4925" s="336" t="s">
        <v>416</v>
      </c>
      <c r="C4925" s="337">
        <v>38295</v>
      </c>
      <c r="D4925" s="338" t="s">
        <v>604</v>
      </c>
      <c r="E4925" s="336" t="s">
        <v>603</v>
      </c>
      <c r="F4925" s="338" t="s">
        <v>602</v>
      </c>
      <c r="G4925" s="338" t="s">
        <v>413</v>
      </c>
      <c r="H4925" s="338" t="s">
        <v>412</v>
      </c>
      <c r="I4925" s="338" t="s">
        <v>411</v>
      </c>
      <c r="J4925" s="339"/>
      <c r="K4925" s="339"/>
      <c r="L4925" s="339">
        <v>0.20239199999999999</v>
      </c>
      <c r="M4925" s="339"/>
      <c r="N4925" s="338" t="s">
        <v>487</v>
      </c>
      <c r="O4925" s="338" t="s">
        <v>417</v>
      </c>
      <c r="P4925" s="338" t="s">
        <v>432</v>
      </c>
    </row>
    <row r="4926" spans="2:16" x14ac:dyDescent="0.25">
      <c r="B4926" s="336" t="s">
        <v>416</v>
      </c>
      <c r="C4926" s="337">
        <v>38294</v>
      </c>
      <c r="D4926" s="338" t="s">
        <v>601</v>
      </c>
      <c r="E4926" s="336" t="s">
        <v>600</v>
      </c>
      <c r="F4926" s="338"/>
      <c r="G4926" s="338" t="s">
        <v>413</v>
      </c>
      <c r="H4926" s="338" t="s">
        <v>412</v>
      </c>
      <c r="I4926" s="338" t="s">
        <v>411</v>
      </c>
      <c r="J4926" s="339"/>
      <c r="K4926" s="339"/>
      <c r="L4926" s="339" t="s">
        <v>409</v>
      </c>
      <c r="M4926" s="339" t="s">
        <v>409</v>
      </c>
      <c r="N4926" s="338" t="s">
        <v>417</v>
      </c>
      <c r="O4926" s="338" t="s">
        <v>409</v>
      </c>
      <c r="P4926" s="338" t="s">
        <v>417</v>
      </c>
    </row>
    <row r="4927" spans="2:16" x14ac:dyDescent="0.25">
      <c r="B4927" s="336" t="s">
        <v>416</v>
      </c>
      <c r="C4927" s="337">
        <v>38294</v>
      </c>
      <c r="D4927" s="338" t="s">
        <v>599</v>
      </c>
      <c r="E4927" s="336" t="s">
        <v>598</v>
      </c>
      <c r="F4927" s="338"/>
      <c r="G4927" s="338" t="s">
        <v>413</v>
      </c>
      <c r="H4927" s="338" t="s">
        <v>412</v>
      </c>
      <c r="I4927" s="338" t="s">
        <v>411</v>
      </c>
      <c r="J4927" s="339"/>
      <c r="K4927" s="339"/>
      <c r="L4927" s="339" t="s">
        <v>409</v>
      </c>
      <c r="M4927" s="339" t="s">
        <v>409</v>
      </c>
      <c r="N4927" s="338"/>
      <c r="O4927" s="338" t="s">
        <v>409</v>
      </c>
      <c r="P4927" s="338" t="s">
        <v>417</v>
      </c>
    </row>
    <row r="4928" spans="2:16" x14ac:dyDescent="0.25">
      <c r="B4928" s="336" t="s">
        <v>416</v>
      </c>
      <c r="C4928" s="337">
        <v>38294</v>
      </c>
      <c r="D4928" s="338" t="s">
        <v>597</v>
      </c>
      <c r="E4928" s="336" t="s">
        <v>419</v>
      </c>
      <c r="F4928" s="338"/>
      <c r="G4928" s="338">
        <v>2137.0100000000002</v>
      </c>
      <c r="H4928" s="338" t="s">
        <v>425</v>
      </c>
      <c r="I4928" s="338" t="s">
        <v>411</v>
      </c>
      <c r="J4928" s="339">
        <v>1.9444600000000001</v>
      </c>
      <c r="K4928" s="339">
        <v>7.6196900000000003</v>
      </c>
      <c r="L4928" s="339" t="s">
        <v>409</v>
      </c>
      <c r="M4928" s="339" t="s">
        <v>409</v>
      </c>
      <c r="N4928" s="338" t="s">
        <v>417</v>
      </c>
      <c r="O4928" s="338" t="s">
        <v>409</v>
      </c>
      <c r="P4928" s="338" t="s">
        <v>417</v>
      </c>
    </row>
    <row r="4929" spans="2:16" x14ac:dyDescent="0.25">
      <c r="B4929" s="336" t="s">
        <v>416</v>
      </c>
      <c r="C4929" s="337">
        <v>38293</v>
      </c>
      <c r="D4929" s="338" t="s">
        <v>596</v>
      </c>
      <c r="E4929" s="336" t="s">
        <v>595</v>
      </c>
      <c r="F4929" s="338"/>
      <c r="G4929" s="338" t="s">
        <v>413</v>
      </c>
      <c r="H4929" s="338" t="s">
        <v>412</v>
      </c>
      <c r="I4929" s="338" t="s">
        <v>411</v>
      </c>
      <c r="J4929" s="339"/>
      <c r="K4929" s="339"/>
      <c r="L4929" s="339" t="s">
        <v>409</v>
      </c>
      <c r="M4929" s="339" t="s">
        <v>409</v>
      </c>
      <c r="N4929" s="338" t="s">
        <v>417</v>
      </c>
      <c r="O4929" s="338" t="s">
        <v>409</v>
      </c>
      <c r="P4929" s="338" t="s">
        <v>417</v>
      </c>
    </row>
    <row r="4930" spans="2:16" x14ac:dyDescent="0.25">
      <c r="B4930" s="336" t="s">
        <v>416</v>
      </c>
      <c r="C4930" s="337">
        <v>38292</v>
      </c>
      <c r="D4930" s="338" t="s">
        <v>594</v>
      </c>
      <c r="E4930" s="336" t="s">
        <v>593</v>
      </c>
      <c r="F4930" s="338" t="s">
        <v>452</v>
      </c>
      <c r="G4930" s="338">
        <v>390</v>
      </c>
      <c r="H4930" s="338" t="s">
        <v>418</v>
      </c>
      <c r="I4930" s="338" t="s">
        <v>411</v>
      </c>
      <c r="J4930" s="339"/>
      <c r="K4930" s="339"/>
      <c r="L4930" s="339">
        <v>4.6635</v>
      </c>
      <c r="M4930" s="339">
        <v>14.8025</v>
      </c>
      <c r="N4930" s="338" t="s">
        <v>417</v>
      </c>
      <c r="O4930" s="338" t="s">
        <v>417</v>
      </c>
      <c r="P4930" s="338" t="s">
        <v>443</v>
      </c>
    </row>
    <row r="4931" spans="2:16" x14ac:dyDescent="0.25">
      <c r="B4931" s="336" t="s">
        <v>416</v>
      </c>
      <c r="C4931" s="337">
        <v>38289</v>
      </c>
      <c r="D4931" s="338" t="s">
        <v>592</v>
      </c>
      <c r="E4931" s="336" t="s">
        <v>591</v>
      </c>
      <c r="F4931" s="338"/>
      <c r="G4931" s="338" t="s">
        <v>413</v>
      </c>
      <c r="H4931" s="338" t="s">
        <v>412</v>
      </c>
      <c r="I4931" s="338" t="s">
        <v>411</v>
      </c>
      <c r="J4931" s="339"/>
      <c r="K4931" s="339"/>
      <c r="L4931" s="339" t="s">
        <v>409</v>
      </c>
      <c r="M4931" s="339" t="s">
        <v>409</v>
      </c>
      <c r="N4931" s="338" t="s">
        <v>410</v>
      </c>
      <c r="O4931" s="338" t="s">
        <v>409</v>
      </c>
      <c r="P4931" s="338" t="s">
        <v>410</v>
      </c>
    </row>
    <row r="4932" spans="2:16" x14ac:dyDescent="0.25">
      <c r="B4932" s="336" t="s">
        <v>416</v>
      </c>
      <c r="C4932" s="337">
        <v>38289</v>
      </c>
      <c r="D4932" s="338" t="s">
        <v>590</v>
      </c>
      <c r="E4932" s="336" t="s">
        <v>589</v>
      </c>
      <c r="F4932" s="338"/>
      <c r="G4932" s="338">
        <v>120</v>
      </c>
      <c r="H4932" s="338" t="s">
        <v>425</v>
      </c>
      <c r="I4932" s="338" t="s">
        <v>411</v>
      </c>
      <c r="J4932" s="339"/>
      <c r="K4932" s="339"/>
      <c r="L4932" s="339" t="s">
        <v>409</v>
      </c>
      <c r="M4932" s="339" t="s">
        <v>409</v>
      </c>
      <c r="N4932" s="338"/>
      <c r="O4932" s="338" t="s">
        <v>409</v>
      </c>
      <c r="P4932" s="338" t="s">
        <v>443</v>
      </c>
    </row>
    <row r="4933" spans="2:16" x14ac:dyDescent="0.25">
      <c r="B4933" s="336" t="s">
        <v>459</v>
      </c>
      <c r="C4933" s="337">
        <v>38288</v>
      </c>
      <c r="D4933" s="338" t="s">
        <v>588</v>
      </c>
      <c r="E4933" s="336" t="s">
        <v>587</v>
      </c>
      <c r="F4933" s="338"/>
      <c r="G4933" s="338" t="s">
        <v>413</v>
      </c>
      <c r="H4933" s="338" t="s">
        <v>412</v>
      </c>
      <c r="I4933" s="338" t="s">
        <v>411</v>
      </c>
      <c r="J4933" s="339"/>
      <c r="K4933" s="339"/>
      <c r="L4933" s="339" t="s">
        <v>409</v>
      </c>
      <c r="M4933" s="339" t="s">
        <v>409</v>
      </c>
      <c r="N4933" s="338" t="s">
        <v>417</v>
      </c>
      <c r="O4933" s="338" t="s">
        <v>409</v>
      </c>
      <c r="P4933" s="338" t="s">
        <v>417</v>
      </c>
    </row>
    <row r="4934" spans="2:16" x14ac:dyDescent="0.25">
      <c r="B4934" s="336" t="s">
        <v>416</v>
      </c>
      <c r="C4934" s="337">
        <v>38288</v>
      </c>
      <c r="D4934" s="338" t="s">
        <v>586</v>
      </c>
      <c r="E4934" s="336" t="s">
        <v>585</v>
      </c>
      <c r="F4934" s="338"/>
      <c r="G4934" s="338" t="s">
        <v>413</v>
      </c>
      <c r="H4934" s="338" t="s">
        <v>425</v>
      </c>
      <c r="I4934" s="338" t="s">
        <v>411</v>
      </c>
      <c r="J4934" s="339"/>
      <c r="K4934" s="339"/>
      <c r="L4934" s="339" t="s">
        <v>409</v>
      </c>
      <c r="M4934" s="339" t="s">
        <v>409</v>
      </c>
      <c r="N4934" s="338" t="s">
        <v>410</v>
      </c>
      <c r="O4934" s="338" t="s">
        <v>409</v>
      </c>
      <c r="P4934" s="338" t="s">
        <v>443</v>
      </c>
    </row>
    <row r="4935" spans="2:16" x14ac:dyDescent="0.25">
      <c r="B4935" s="336" t="s">
        <v>416</v>
      </c>
      <c r="C4935" s="337">
        <v>38282</v>
      </c>
      <c r="D4935" s="338" t="s">
        <v>584</v>
      </c>
      <c r="E4935" s="336" t="s">
        <v>583</v>
      </c>
      <c r="F4935" s="338" t="s">
        <v>582</v>
      </c>
      <c r="G4935" s="338" t="s">
        <v>413</v>
      </c>
      <c r="H4935" s="338" t="s">
        <v>412</v>
      </c>
      <c r="I4935" s="338" t="s">
        <v>411</v>
      </c>
      <c r="J4935" s="339"/>
      <c r="K4935" s="339"/>
      <c r="L4935" s="339"/>
      <c r="M4935" s="339"/>
      <c r="N4935" s="338" t="s">
        <v>487</v>
      </c>
      <c r="O4935" s="338" t="s">
        <v>417</v>
      </c>
      <c r="P4935" s="338" t="s">
        <v>443</v>
      </c>
    </row>
    <row r="4936" spans="2:16" x14ac:dyDescent="0.25">
      <c r="B4936" s="336" t="s">
        <v>416</v>
      </c>
      <c r="C4936" s="337">
        <v>38281</v>
      </c>
      <c r="D4936" s="338" t="s">
        <v>581</v>
      </c>
      <c r="E4936" s="336" t="s">
        <v>580</v>
      </c>
      <c r="F4936" s="338" t="s">
        <v>579</v>
      </c>
      <c r="G4936" s="338">
        <v>12.5</v>
      </c>
      <c r="H4936" s="338" t="s">
        <v>425</v>
      </c>
      <c r="I4936" s="338" t="s">
        <v>411</v>
      </c>
      <c r="J4936" s="339"/>
      <c r="K4936" s="339"/>
      <c r="L4936" s="339"/>
      <c r="M4936" s="339"/>
      <c r="N4936" s="338"/>
      <c r="O4936" s="338" t="s">
        <v>417</v>
      </c>
      <c r="P4936" s="338" t="s">
        <v>417</v>
      </c>
    </row>
    <row r="4937" spans="2:16" x14ac:dyDescent="0.25">
      <c r="B4937" s="336" t="s">
        <v>416</v>
      </c>
      <c r="C4937" s="337">
        <v>38281</v>
      </c>
      <c r="D4937" s="338" t="s">
        <v>578</v>
      </c>
      <c r="E4937" s="336" t="s">
        <v>577</v>
      </c>
      <c r="F4937" s="338" t="s">
        <v>576</v>
      </c>
      <c r="G4937" s="338" t="s">
        <v>413</v>
      </c>
      <c r="H4937" s="338" t="s">
        <v>412</v>
      </c>
      <c r="I4937" s="338" t="s">
        <v>411</v>
      </c>
      <c r="J4937" s="339"/>
      <c r="K4937" s="339"/>
      <c r="L4937" s="339"/>
      <c r="M4937" s="339"/>
      <c r="N4937" s="338" t="s">
        <v>417</v>
      </c>
      <c r="O4937" s="338" t="s">
        <v>443</v>
      </c>
      <c r="P4937" s="338" t="s">
        <v>432</v>
      </c>
    </row>
    <row r="4938" spans="2:16" x14ac:dyDescent="0.25">
      <c r="B4938" s="336" t="s">
        <v>416</v>
      </c>
      <c r="C4938" s="337">
        <v>38280</v>
      </c>
      <c r="D4938" s="338" t="s">
        <v>575</v>
      </c>
      <c r="E4938" s="336" t="s">
        <v>574</v>
      </c>
      <c r="F4938" s="338" t="s">
        <v>573</v>
      </c>
      <c r="G4938" s="338">
        <v>101</v>
      </c>
      <c r="H4938" s="338" t="s">
        <v>425</v>
      </c>
      <c r="I4938" s="338" t="s">
        <v>411</v>
      </c>
      <c r="J4938" s="339"/>
      <c r="K4938" s="339"/>
      <c r="L4938" s="339">
        <v>3.0509499999999998</v>
      </c>
      <c r="M4938" s="339">
        <v>11.4476</v>
      </c>
      <c r="N4938" s="338"/>
      <c r="O4938" s="338" t="s">
        <v>432</v>
      </c>
      <c r="P4938" s="338" t="s">
        <v>417</v>
      </c>
    </row>
    <row r="4939" spans="2:16" x14ac:dyDescent="0.25">
      <c r="B4939" s="336" t="s">
        <v>416</v>
      </c>
      <c r="C4939" s="337">
        <v>38280</v>
      </c>
      <c r="D4939" s="338" t="s">
        <v>572</v>
      </c>
      <c r="E4939" s="336" t="s">
        <v>571</v>
      </c>
      <c r="F4939" s="338"/>
      <c r="G4939" s="338" t="s">
        <v>413</v>
      </c>
      <c r="H4939" s="338" t="s">
        <v>412</v>
      </c>
      <c r="I4939" s="338" t="s">
        <v>411</v>
      </c>
      <c r="J4939" s="339"/>
      <c r="K4939" s="339"/>
      <c r="L4939" s="339" t="s">
        <v>409</v>
      </c>
      <c r="M4939" s="339" t="s">
        <v>409</v>
      </c>
      <c r="N4939" s="338" t="s">
        <v>417</v>
      </c>
      <c r="O4939" s="338" t="s">
        <v>409</v>
      </c>
      <c r="P4939" s="338" t="s">
        <v>417</v>
      </c>
    </row>
    <row r="4940" spans="2:16" x14ac:dyDescent="0.25">
      <c r="B4940" s="336" t="s">
        <v>541</v>
      </c>
      <c r="C4940" s="337">
        <v>38278</v>
      </c>
      <c r="D4940" s="338" t="s">
        <v>570</v>
      </c>
      <c r="E4940" s="336" t="s">
        <v>539</v>
      </c>
      <c r="F4940" s="338" t="s">
        <v>569</v>
      </c>
      <c r="G4940" s="338">
        <v>1.51</v>
      </c>
      <c r="H4940" s="338"/>
      <c r="I4940" s="338" t="s">
        <v>411</v>
      </c>
      <c r="J4940" s="339"/>
      <c r="K4940" s="339"/>
      <c r="L4940" s="339">
        <v>4.8614699999999997</v>
      </c>
      <c r="M4940" s="339">
        <v>26.855899999999998</v>
      </c>
      <c r="N4940" s="338" t="s">
        <v>487</v>
      </c>
      <c r="O4940" s="338" t="s">
        <v>417</v>
      </c>
      <c r="P4940" s="338" t="s">
        <v>409</v>
      </c>
    </row>
    <row r="4941" spans="2:16" x14ac:dyDescent="0.25">
      <c r="B4941" s="336" t="s">
        <v>416</v>
      </c>
      <c r="C4941" s="337">
        <v>38278</v>
      </c>
      <c r="D4941" s="338" t="s">
        <v>568</v>
      </c>
      <c r="E4941" s="336" t="s">
        <v>436</v>
      </c>
      <c r="F4941" s="338"/>
      <c r="G4941" s="338">
        <v>4</v>
      </c>
      <c r="H4941" s="338" t="s">
        <v>425</v>
      </c>
      <c r="I4941" s="338" t="s">
        <v>411</v>
      </c>
      <c r="J4941" s="339"/>
      <c r="K4941" s="339"/>
      <c r="L4941" s="339" t="s">
        <v>409</v>
      </c>
      <c r="M4941" s="339" t="s">
        <v>409</v>
      </c>
      <c r="N4941" s="338" t="s">
        <v>417</v>
      </c>
      <c r="O4941" s="338" t="s">
        <v>409</v>
      </c>
      <c r="P4941" s="338" t="s">
        <v>417</v>
      </c>
    </row>
    <row r="4942" spans="2:16" x14ac:dyDescent="0.25">
      <c r="B4942" s="336" t="s">
        <v>416</v>
      </c>
      <c r="C4942" s="337">
        <v>38274</v>
      </c>
      <c r="D4942" s="338" t="s">
        <v>567</v>
      </c>
      <c r="E4942" s="336" t="s">
        <v>566</v>
      </c>
      <c r="F4942" s="338"/>
      <c r="G4942" s="338" t="s">
        <v>413</v>
      </c>
      <c r="H4942" s="338" t="s">
        <v>412</v>
      </c>
      <c r="I4942" s="338" t="s">
        <v>411</v>
      </c>
      <c r="J4942" s="339"/>
      <c r="K4942" s="339"/>
      <c r="L4942" s="339" t="s">
        <v>409</v>
      </c>
      <c r="M4942" s="339" t="s">
        <v>409</v>
      </c>
      <c r="N4942" s="338" t="s">
        <v>432</v>
      </c>
      <c r="O4942" s="338" t="s">
        <v>409</v>
      </c>
      <c r="P4942" s="338" t="s">
        <v>410</v>
      </c>
    </row>
    <row r="4943" spans="2:16" x14ac:dyDescent="0.25">
      <c r="B4943" s="336" t="s">
        <v>416</v>
      </c>
      <c r="C4943" s="337">
        <v>38274</v>
      </c>
      <c r="D4943" s="338" t="s">
        <v>565</v>
      </c>
      <c r="E4943" s="336" t="s">
        <v>564</v>
      </c>
      <c r="F4943" s="338"/>
      <c r="G4943" s="338">
        <v>0.92</v>
      </c>
      <c r="H4943" s="338" t="s">
        <v>336</v>
      </c>
      <c r="I4943" s="338" t="s">
        <v>411</v>
      </c>
      <c r="J4943" s="339"/>
      <c r="K4943" s="339"/>
      <c r="L4943" s="339" t="s">
        <v>409</v>
      </c>
      <c r="M4943" s="339" t="s">
        <v>409</v>
      </c>
      <c r="N4943" s="338" t="s">
        <v>417</v>
      </c>
      <c r="O4943" s="338" t="s">
        <v>409</v>
      </c>
      <c r="P4943" s="338" t="s">
        <v>408</v>
      </c>
    </row>
    <row r="4944" spans="2:16" x14ac:dyDescent="0.25">
      <c r="B4944" s="336" t="s">
        <v>416</v>
      </c>
      <c r="C4944" s="337">
        <v>38274</v>
      </c>
      <c r="D4944" s="338" t="s">
        <v>563</v>
      </c>
      <c r="E4944" s="336" t="s">
        <v>430</v>
      </c>
      <c r="F4944" s="338"/>
      <c r="G4944" s="338" t="s">
        <v>413</v>
      </c>
      <c r="H4944" s="338" t="s">
        <v>429</v>
      </c>
      <c r="I4944" s="338" t="s">
        <v>411</v>
      </c>
      <c r="J4944" s="339"/>
      <c r="K4944" s="339"/>
      <c r="L4944" s="339" t="s">
        <v>409</v>
      </c>
      <c r="M4944" s="339" t="s">
        <v>409</v>
      </c>
      <c r="N4944" s="338" t="s">
        <v>417</v>
      </c>
      <c r="O4944" s="338" t="s">
        <v>409</v>
      </c>
      <c r="P4944" s="338" t="s">
        <v>408</v>
      </c>
    </row>
    <row r="4945" spans="2:16" x14ac:dyDescent="0.25">
      <c r="B4945" s="336" t="s">
        <v>416</v>
      </c>
      <c r="C4945" s="337">
        <v>38273</v>
      </c>
      <c r="D4945" s="338" t="s">
        <v>562</v>
      </c>
      <c r="E4945" s="336" t="s">
        <v>561</v>
      </c>
      <c r="F4945" s="338"/>
      <c r="G4945" s="338" t="s">
        <v>413</v>
      </c>
      <c r="H4945" s="338" t="s">
        <v>412</v>
      </c>
      <c r="I4945" s="338" t="s">
        <v>411</v>
      </c>
      <c r="J4945" s="339"/>
      <c r="K4945" s="339"/>
      <c r="L4945" s="339" t="s">
        <v>409</v>
      </c>
      <c r="M4945" s="339" t="s">
        <v>409</v>
      </c>
      <c r="N4945" s="338" t="s">
        <v>417</v>
      </c>
      <c r="O4945" s="338" t="s">
        <v>409</v>
      </c>
      <c r="P4945" s="338" t="s">
        <v>417</v>
      </c>
    </row>
    <row r="4946" spans="2:16" x14ac:dyDescent="0.25">
      <c r="B4946" s="336" t="s">
        <v>416</v>
      </c>
      <c r="C4946" s="337">
        <v>38273</v>
      </c>
      <c r="D4946" s="338" t="s">
        <v>560</v>
      </c>
      <c r="E4946" s="336" t="s">
        <v>559</v>
      </c>
      <c r="F4946" s="338"/>
      <c r="G4946" s="338">
        <v>11</v>
      </c>
      <c r="H4946" s="338" t="s">
        <v>336</v>
      </c>
      <c r="I4946" s="338" t="s">
        <v>411</v>
      </c>
      <c r="J4946" s="339"/>
      <c r="K4946" s="339"/>
      <c r="L4946" s="339" t="s">
        <v>409</v>
      </c>
      <c r="M4946" s="339" t="s">
        <v>409</v>
      </c>
      <c r="N4946" s="338" t="s">
        <v>417</v>
      </c>
      <c r="O4946" s="338" t="s">
        <v>409</v>
      </c>
      <c r="P4946" s="338" t="s">
        <v>432</v>
      </c>
    </row>
    <row r="4947" spans="2:16" x14ac:dyDescent="0.25">
      <c r="B4947" s="336" t="s">
        <v>459</v>
      </c>
      <c r="C4947" s="337">
        <v>38272</v>
      </c>
      <c r="D4947" s="338" t="s">
        <v>558</v>
      </c>
      <c r="E4947" s="336" t="s">
        <v>557</v>
      </c>
      <c r="F4947" s="338"/>
      <c r="G4947" s="338">
        <v>6.3</v>
      </c>
      <c r="H4947" s="338" t="s">
        <v>425</v>
      </c>
      <c r="I4947" s="338" t="s">
        <v>411</v>
      </c>
      <c r="J4947" s="339"/>
      <c r="K4947" s="339"/>
      <c r="L4947" s="339" t="s">
        <v>409</v>
      </c>
      <c r="M4947" s="339" t="s">
        <v>409</v>
      </c>
      <c r="N4947" s="338" t="s">
        <v>417</v>
      </c>
      <c r="O4947" s="338" t="s">
        <v>409</v>
      </c>
      <c r="P4947" s="338"/>
    </row>
    <row r="4948" spans="2:16" x14ac:dyDescent="0.25">
      <c r="B4948" s="336" t="s">
        <v>416</v>
      </c>
      <c r="C4948" s="337">
        <v>38272</v>
      </c>
      <c r="D4948" s="338" t="s">
        <v>550</v>
      </c>
      <c r="E4948" s="336" t="s">
        <v>556</v>
      </c>
      <c r="F4948" s="338"/>
      <c r="G4948" s="338" t="s">
        <v>413</v>
      </c>
      <c r="H4948" s="338" t="s">
        <v>412</v>
      </c>
      <c r="I4948" s="338" t="s">
        <v>411</v>
      </c>
      <c r="J4948" s="339"/>
      <c r="K4948" s="339"/>
      <c r="L4948" s="339" t="s">
        <v>409</v>
      </c>
      <c r="M4948" s="339" t="s">
        <v>409</v>
      </c>
      <c r="N4948" s="338" t="s">
        <v>417</v>
      </c>
      <c r="O4948" s="338" t="s">
        <v>409</v>
      </c>
      <c r="P4948" s="338" t="s">
        <v>417</v>
      </c>
    </row>
    <row r="4949" spans="2:16" x14ac:dyDescent="0.25">
      <c r="B4949" s="336" t="s">
        <v>416</v>
      </c>
      <c r="C4949" s="337">
        <v>38271</v>
      </c>
      <c r="D4949" s="338" t="s">
        <v>555</v>
      </c>
      <c r="E4949" s="336" t="s">
        <v>554</v>
      </c>
      <c r="F4949" s="338" t="s">
        <v>553</v>
      </c>
      <c r="G4949" s="338">
        <v>16</v>
      </c>
      <c r="H4949" s="338" t="s">
        <v>425</v>
      </c>
      <c r="I4949" s="338" t="s">
        <v>411</v>
      </c>
      <c r="J4949" s="339"/>
      <c r="K4949" s="339"/>
      <c r="L4949" s="339"/>
      <c r="M4949" s="339"/>
      <c r="N4949" s="338" t="s">
        <v>417</v>
      </c>
      <c r="O4949" s="338" t="s">
        <v>443</v>
      </c>
      <c r="P4949" s="338" t="s">
        <v>417</v>
      </c>
    </row>
    <row r="4950" spans="2:16" x14ac:dyDescent="0.25">
      <c r="B4950" s="336" t="s">
        <v>416</v>
      </c>
      <c r="C4950" s="337">
        <v>38268</v>
      </c>
      <c r="D4950" s="338" t="s">
        <v>552</v>
      </c>
      <c r="E4950" s="336" t="s">
        <v>551</v>
      </c>
      <c r="F4950" s="338" t="s">
        <v>550</v>
      </c>
      <c r="G4950" s="338">
        <v>12</v>
      </c>
      <c r="H4950" s="338" t="s">
        <v>412</v>
      </c>
      <c r="I4950" s="338" t="s">
        <v>411</v>
      </c>
      <c r="J4950" s="339"/>
      <c r="K4950" s="339"/>
      <c r="L4950" s="339"/>
      <c r="M4950" s="339"/>
      <c r="N4950" s="338"/>
      <c r="O4950" s="338" t="s">
        <v>417</v>
      </c>
      <c r="P4950" s="338" t="s">
        <v>417</v>
      </c>
    </row>
    <row r="4951" spans="2:16" x14ac:dyDescent="0.25">
      <c r="B4951" s="336" t="s">
        <v>416</v>
      </c>
      <c r="C4951" s="337">
        <v>38267</v>
      </c>
      <c r="D4951" s="338" t="s">
        <v>549</v>
      </c>
      <c r="E4951" s="336" t="s">
        <v>548</v>
      </c>
      <c r="F4951" s="338" t="s">
        <v>547</v>
      </c>
      <c r="G4951" s="338">
        <v>0.4</v>
      </c>
      <c r="H4951" s="338" t="s">
        <v>425</v>
      </c>
      <c r="I4951" s="338" t="s">
        <v>411</v>
      </c>
      <c r="J4951" s="339"/>
      <c r="K4951" s="339"/>
      <c r="L4951" s="339">
        <v>0.81949300000000003</v>
      </c>
      <c r="M4951" s="339">
        <v>7.72905</v>
      </c>
      <c r="N4951" s="338"/>
      <c r="O4951" s="338" t="s">
        <v>417</v>
      </c>
      <c r="P4951" s="338" t="s">
        <v>443</v>
      </c>
    </row>
    <row r="4952" spans="2:16" x14ac:dyDescent="0.25">
      <c r="B4952" s="336" t="s">
        <v>542</v>
      </c>
      <c r="C4952" s="337">
        <v>38266</v>
      </c>
      <c r="D4952" s="338" t="s">
        <v>546</v>
      </c>
      <c r="E4952" s="336" t="s">
        <v>539</v>
      </c>
      <c r="F4952" s="338"/>
      <c r="G4952" s="338">
        <v>2000</v>
      </c>
      <c r="H4952" s="338"/>
      <c r="I4952" s="338" t="s">
        <v>411</v>
      </c>
      <c r="J4952" s="339">
        <v>1.7353000000000001</v>
      </c>
      <c r="K4952" s="339">
        <v>8.6933699999999998</v>
      </c>
      <c r="L4952" s="339" t="s">
        <v>409</v>
      </c>
      <c r="M4952" s="339" t="s">
        <v>409</v>
      </c>
      <c r="N4952" s="338" t="s">
        <v>417</v>
      </c>
      <c r="O4952" s="338" t="s">
        <v>409</v>
      </c>
      <c r="P4952" s="338" t="s">
        <v>417</v>
      </c>
    </row>
    <row r="4953" spans="2:16" x14ac:dyDescent="0.25">
      <c r="B4953" s="336" t="s">
        <v>416</v>
      </c>
      <c r="C4953" s="337">
        <v>38266</v>
      </c>
      <c r="D4953" s="338" t="s">
        <v>545</v>
      </c>
      <c r="E4953" s="336" t="s">
        <v>544</v>
      </c>
      <c r="F4953" s="338"/>
      <c r="G4953" s="338" t="s">
        <v>413</v>
      </c>
      <c r="H4953" s="338" t="s">
        <v>412</v>
      </c>
      <c r="I4953" s="338" t="s">
        <v>411</v>
      </c>
      <c r="J4953" s="339"/>
      <c r="K4953" s="339"/>
      <c r="L4953" s="339" t="s">
        <v>409</v>
      </c>
      <c r="M4953" s="339" t="s">
        <v>409</v>
      </c>
      <c r="N4953" s="338" t="s">
        <v>417</v>
      </c>
      <c r="O4953" s="338" t="s">
        <v>409</v>
      </c>
      <c r="P4953" s="338" t="s">
        <v>543</v>
      </c>
    </row>
    <row r="4954" spans="2:16" x14ac:dyDescent="0.25">
      <c r="B4954" s="336" t="s">
        <v>542</v>
      </c>
      <c r="C4954" s="337">
        <v>38264</v>
      </c>
      <c r="D4954" s="338" t="s">
        <v>540</v>
      </c>
      <c r="E4954" s="336" t="s">
        <v>539</v>
      </c>
      <c r="F4954" s="338"/>
      <c r="G4954" s="338">
        <v>111.52</v>
      </c>
      <c r="H4954" s="338"/>
      <c r="I4954" s="338" t="s">
        <v>411</v>
      </c>
      <c r="J4954" s="339">
        <v>0.64216099999999998</v>
      </c>
      <c r="K4954" s="339">
        <v>7.1605400000000001</v>
      </c>
      <c r="L4954" s="339" t="s">
        <v>409</v>
      </c>
      <c r="M4954" s="339" t="s">
        <v>409</v>
      </c>
      <c r="N4954" s="338" t="s">
        <v>417</v>
      </c>
      <c r="O4954" s="338" t="s">
        <v>409</v>
      </c>
      <c r="P4954" s="338" t="s">
        <v>417</v>
      </c>
    </row>
    <row r="4955" spans="2:16" x14ac:dyDescent="0.25">
      <c r="B4955" s="336" t="s">
        <v>541</v>
      </c>
      <c r="C4955" s="337">
        <v>38264</v>
      </c>
      <c r="D4955" s="338" t="s">
        <v>540</v>
      </c>
      <c r="E4955" s="336" t="s">
        <v>539</v>
      </c>
      <c r="F4955" s="338" t="s">
        <v>538</v>
      </c>
      <c r="G4955" s="338">
        <v>635.12</v>
      </c>
      <c r="H4955" s="338"/>
      <c r="I4955" s="338" t="s">
        <v>411</v>
      </c>
      <c r="J4955" s="339">
        <v>0.64216099999999998</v>
      </c>
      <c r="K4955" s="339">
        <v>7.1605400000000001</v>
      </c>
      <c r="L4955" s="339">
        <v>0.21088399999999999</v>
      </c>
      <c r="M4955" s="339">
        <v>238.93199999999999</v>
      </c>
      <c r="N4955" s="338" t="s">
        <v>417</v>
      </c>
      <c r="O4955" s="338" t="s">
        <v>417</v>
      </c>
      <c r="P4955" s="338" t="s">
        <v>409</v>
      </c>
    </row>
    <row r="4956" spans="2:16" x14ac:dyDescent="0.25">
      <c r="B4956" s="336" t="s">
        <v>416</v>
      </c>
      <c r="C4956" s="337">
        <v>38264</v>
      </c>
      <c r="D4956" s="338" t="s">
        <v>537</v>
      </c>
      <c r="E4956" s="336" t="s">
        <v>536</v>
      </c>
      <c r="F4956" s="338"/>
      <c r="G4956" s="338" t="s">
        <v>413</v>
      </c>
      <c r="H4956" s="338" t="s">
        <v>412</v>
      </c>
      <c r="I4956" s="338" t="s">
        <v>411</v>
      </c>
      <c r="J4956" s="339"/>
      <c r="K4956" s="339"/>
      <c r="L4956" s="339" t="s">
        <v>409</v>
      </c>
      <c r="M4956" s="339" t="s">
        <v>409</v>
      </c>
      <c r="N4956" s="338"/>
      <c r="O4956" s="338" t="s">
        <v>409</v>
      </c>
      <c r="P4956" s="338" t="s">
        <v>417</v>
      </c>
    </row>
    <row r="4957" spans="2:16" x14ac:dyDescent="0.25">
      <c r="B4957" s="336" t="s">
        <v>416</v>
      </c>
      <c r="C4957" s="337">
        <v>38261</v>
      </c>
      <c r="D4957" s="338" t="s">
        <v>535</v>
      </c>
      <c r="E4957" s="336" t="s">
        <v>534</v>
      </c>
      <c r="F4957" s="338" t="s">
        <v>533</v>
      </c>
      <c r="G4957" s="338">
        <v>21.6</v>
      </c>
      <c r="H4957" s="338" t="s">
        <v>425</v>
      </c>
      <c r="I4957" s="338" t="s">
        <v>411</v>
      </c>
      <c r="J4957" s="339"/>
      <c r="K4957" s="339"/>
      <c r="L4957" s="339">
        <v>0.41680899999999999</v>
      </c>
      <c r="M4957" s="339">
        <v>10.2707</v>
      </c>
      <c r="N4957" s="338"/>
      <c r="O4957" s="338" t="s">
        <v>443</v>
      </c>
      <c r="P4957" s="338" t="s">
        <v>417</v>
      </c>
    </row>
    <row r="4958" spans="2:16" x14ac:dyDescent="0.25">
      <c r="B4958" s="336" t="s">
        <v>416</v>
      </c>
      <c r="C4958" s="337">
        <v>38261</v>
      </c>
      <c r="D4958" s="338" t="s">
        <v>532</v>
      </c>
      <c r="E4958" s="336" t="s">
        <v>531</v>
      </c>
      <c r="F4958" s="338" t="s">
        <v>530</v>
      </c>
      <c r="G4958" s="338" t="s">
        <v>413</v>
      </c>
      <c r="H4958" s="338" t="s">
        <v>412</v>
      </c>
      <c r="I4958" s="338" t="s">
        <v>411</v>
      </c>
      <c r="J4958" s="339"/>
      <c r="K4958" s="339"/>
      <c r="L4958" s="339"/>
      <c r="M4958" s="339"/>
      <c r="N4958" s="338"/>
      <c r="O4958" s="338" t="s">
        <v>417</v>
      </c>
      <c r="P4958" s="338" t="s">
        <v>417</v>
      </c>
    </row>
    <row r="4959" spans="2:16" x14ac:dyDescent="0.25">
      <c r="B4959" s="336" t="s">
        <v>416</v>
      </c>
      <c r="C4959" s="337">
        <v>38260</v>
      </c>
      <c r="D4959" s="338" t="s">
        <v>529</v>
      </c>
      <c r="E4959" s="336" t="s">
        <v>479</v>
      </c>
      <c r="F4959" s="338"/>
      <c r="G4959" s="338" t="s">
        <v>413</v>
      </c>
      <c r="H4959" s="338" t="s">
        <v>412</v>
      </c>
      <c r="I4959" s="338" t="s">
        <v>411</v>
      </c>
      <c r="J4959" s="339"/>
      <c r="K4959" s="339"/>
      <c r="L4959" s="339" t="s">
        <v>409</v>
      </c>
      <c r="M4959" s="339" t="s">
        <v>409</v>
      </c>
      <c r="N4959" s="338" t="s">
        <v>417</v>
      </c>
      <c r="O4959" s="338" t="s">
        <v>409</v>
      </c>
      <c r="P4959" s="338" t="s">
        <v>443</v>
      </c>
    </row>
    <row r="4960" spans="2:16" x14ac:dyDescent="0.25">
      <c r="B4960" s="336" t="s">
        <v>416</v>
      </c>
      <c r="C4960" s="337">
        <v>38260</v>
      </c>
      <c r="D4960" s="338" t="s">
        <v>528</v>
      </c>
      <c r="E4960" s="336" t="s">
        <v>527</v>
      </c>
      <c r="F4960" s="338"/>
      <c r="G4960" s="338" t="s">
        <v>413</v>
      </c>
      <c r="H4960" s="338" t="s">
        <v>412</v>
      </c>
      <c r="I4960" s="338" t="s">
        <v>411</v>
      </c>
      <c r="J4960" s="339"/>
      <c r="K4960" s="339"/>
      <c r="L4960" s="339" t="s">
        <v>409</v>
      </c>
      <c r="M4960" s="339" t="s">
        <v>409</v>
      </c>
      <c r="N4960" s="338"/>
      <c r="O4960" s="338" t="s">
        <v>409</v>
      </c>
      <c r="P4960" s="338" t="s">
        <v>443</v>
      </c>
    </row>
    <row r="4961" spans="2:16" x14ac:dyDescent="0.25">
      <c r="B4961" s="336" t="s">
        <v>416</v>
      </c>
      <c r="C4961" s="337">
        <v>38259</v>
      </c>
      <c r="D4961" s="338" t="s">
        <v>526</v>
      </c>
      <c r="E4961" s="336" t="s">
        <v>525</v>
      </c>
      <c r="F4961" s="338"/>
      <c r="G4961" s="338" t="s">
        <v>413</v>
      </c>
      <c r="H4961" s="338" t="s">
        <v>412</v>
      </c>
      <c r="I4961" s="338" t="s">
        <v>411</v>
      </c>
      <c r="J4961" s="339"/>
      <c r="K4961" s="339"/>
      <c r="L4961" s="339" t="s">
        <v>409</v>
      </c>
      <c r="M4961" s="339" t="s">
        <v>409</v>
      </c>
      <c r="N4961" s="338"/>
      <c r="O4961" s="338" t="s">
        <v>409</v>
      </c>
      <c r="P4961" s="338" t="s">
        <v>417</v>
      </c>
    </row>
    <row r="4962" spans="2:16" x14ac:dyDescent="0.25">
      <c r="B4962" s="336" t="s">
        <v>416</v>
      </c>
      <c r="C4962" s="337">
        <v>38259</v>
      </c>
      <c r="D4962" s="338" t="s">
        <v>524</v>
      </c>
      <c r="E4962" s="336" t="s">
        <v>523</v>
      </c>
      <c r="F4962" s="338"/>
      <c r="G4962" s="338" t="s">
        <v>413</v>
      </c>
      <c r="H4962" s="338" t="s">
        <v>412</v>
      </c>
      <c r="I4962" s="338" t="s">
        <v>411</v>
      </c>
      <c r="J4962" s="339"/>
      <c r="K4962" s="339"/>
      <c r="L4962" s="339" t="s">
        <v>409</v>
      </c>
      <c r="M4962" s="339" t="s">
        <v>409</v>
      </c>
      <c r="N4962" s="338" t="s">
        <v>410</v>
      </c>
      <c r="O4962" s="338" t="s">
        <v>409</v>
      </c>
      <c r="P4962" s="338" t="s">
        <v>417</v>
      </c>
    </row>
    <row r="4963" spans="2:16" x14ac:dyDescent="0.25">
      <c r="B4963" s="336" t="s">
        <v>416</v>
      </c>
      <c r="C4963" s="337">
        <v>38258</v>
      </c>
      <c r="D4963" s="338" t="s">
        <v>522</v>
      </c>
      <c r="E4963" s="336" t="s">
        <v>521</v>
      </c>
      <c r="F4963" s="338" t="s">
        <v>520</v>
      </c>
      <c r="G4963" s="338">
        <v>7</v>
      </c>
      <c r="H4963" s="338" t="s">
        <v>425</v>
      </c>
      <c r="I4963" s="338" t="s">
        <v>411</v>
      </c>
      <c r="J4963" s="339"/>
      <c r="K4963" s="339"/>
      <c r="L4963" s="339"/>
      <c r="M4963" s="339"/>
      <c r="N4963" s="338"/>
      <c r="O4963" s="338" t="s">
        <v>417</v>
      </c>
      <c r="P4963" s="338" t="s">
        <v>417</v>
      </c>
    </row>
    <row r="4964" spans="2:16" x14ac:dyDescent="0.25">
      <c r="B4964" s="336" t="s">
        <v>416</v>
      </c>
      <c r="C4964" s="337">
        <v>38257</v>
      </c>
      <c r="D4964" s="338" t="s">
        <v>519</v>
      </c>
      <c r="E4964" s="336" t="s">
        <v>450</v>
      </c>
      <c r="F4964" s="338"/>
      <c r="G4964" s="338" t="s">
        <v>413</v>
      </c>
      <c r="H4964" s="338" t="s">
        <v>412</v>
      </c>
      <c r="I4964" s="338" t="s">
        <v>411</v>
      </c>
      <c r="J4964" s="339"/>
      <c r="K4964" s="339"/>
      <c r="L4964" s="339" t="s">
        <v>409</v>
      </c>
      <c r="M4964" s="339" t="s">
        <v>409</v>
      </c>
      <c r="N4964" s="338"/>
      <c r="O4964" s="338" t="s">
        <v>409</v>
      </c>
      <c r="P4964" s="338" t="s">
        <v>417</v>
      </c>
    </row>
    <row r="4965" spans="2:16" x14ac:dyDescent="0.25">
      <c r="B4965" s="336" t="s">
        <v>416</v>
      </c>
      <c r="C4965" s="337">
        <v>38257</v>
      </c>
      <c r="D4965" s="338" t="s">
        <v>518</v>
      </c>
      <c r="E4965" s="336" t="s">
        <v>517</v>
      </c>
      <c r="F4965" s="338" t="s">
        <v>516</v>
      </c>
      <c r="G4965" s="338">
        <v>1240</v>
      </c>
      <c r="H4965" s="338" t="s">
        <v>425</v>
      </c>
      <c r="I4965" s="338" t="s">
        <v>411</v>
      </c>
      <c r="J4965" s="339"/>
      <c r="K4965" s="339"/>
      <c r="L4965" s="339"/>
      <c r="M4965" s="339"/>
      <c r="N4965" s="338"/>
      <c r="O4965" s="338" t="s">
        <v>417</v>
      </c>
      <c r="P4965" s="338" t="s">
        <v>443</v>
      </c>
    </row>
    <row r="4966" spans="2:16" x14ac:dyDescent="0.25">
      <c r="B4966" s="336" t="s">
        <v>416</v>
      </c>
      <c r="C4966" s="337">
        <v>38257</v>
      </c>
      <c r="D4966" s="338" t="s">
        <v>515</v>
      </c>
      <c r="E4966" s="336" t="s">
        <v>514</v>
      </c>
      <c r="F4966" s="338" t="s">
        <v>513</v>
      </c>
      <c r="G4966" s="338">
        <v>7.95</v>
      </c>
      <c r="H4966" s="338" t="s">
        <v>425</v>
      </c>
      <c r="I4966" s="338" t="s">
        <v>411</v>
      </c>
      <c r="J4966" s="339"/>
      <c r="K4966" s="339"/>
      <c r="L4966" s="339"/>
      <c r="M4966" s="339">
        <v>545.779</v>
      </c>
      <c r="N4966" s="338"/>
      <c r="O4966" s="338" t="s">
        <v>443</v>
      </c>
      <c r="P4966" s="338"/>
    </row>
    <row r="4967" spans="2:16" x14ac:dyDescent="0.25">
      <c r="B4967" s="336" t="s">
        <v>416</v>
      </c>
      <c r="C4967" s="337">
        <v>38257</v>
      </c>
      <c r="D4967" s="338" t="s">
        <v>512</v>
      </c>
      <c r="E4967" s="336" t="s">
        <v>511</v>
      </c>
      <c r="F4967" s="338" t="s">
        <v>510</v>
      </c>
      <c r="G4967" s="338" t="s">
        <v>413</v>
      </c>
      <c r="H4967" s="338" t="s">
        <v>412</v>
      </c>
      <c r="I4967" s="338" t="s">
        <v>411</v>
      </c>
      <c r="J4967" s="339"/>
      <c r="K4967" s="339"/>
      <c r="L4967" s="339"/>
      <c r="M4967" s="339"/>
      <c r="N4967" s="338"/>
      <c r="O4967" s="338" t="s">
        <v>410</v>
      </c>
      <c r="P4967" s="338" t="s">
        <v>417</v>
      </c>
    </row>
    <row r="4968" spans="2:16" x14ac:dyDescent="0.25">
      <c r="B4968" s="336" t="s">
        <v>416</v>
      </c>
      <c r="C4968" s="337">
        <v>38257</v>
      </c>
      <c r="D4968" s="338" t="s">
        <v>509</v>
      </c>
      <c r="E4968" s="336" t="s">
        <v>508</v>
      </c>
      <c r="F4968" s="338"/>
      <c r="G4968" s="338" t="s">
        <v>413</v>
      </c>
      <c r="H4968" s="338" t="s">
        <v>507</v>
      </c>
      <c r="I4968" s="338" t="s">
        <v>411</v>
      </c>
      <c r="J4968" s="339"/>
      <c r="K4968" s="339"/>
      <c r="L4968" s="339" t="s">
        <v>409</v>
      </c>
      <c r="M4968" s="339" t="s">
        <v>409</v>
      </c>
      <c r="N4968" s="338" t="s">
        <v>417</v>
      </c>
      <c r="O4968" s="338" t="s">
        <v>409</v>
      </c>
      <c r="P4968" s="338"/>
    </row>
    <row r="4969" spans="2:16" x14ac:dyDescent="0.25">
      <c r="B4969" s="336" t="s">
        <v>416</v>
      </c>
      <c r="C4969" s="337">
        <v>38253</v>
      </c>
      <c r="D4969" s="338" t="s">
        <v>506</v>
      </c>
      <c r="E4969" s="336" t="s">
        <v>505</v>
      </c>
      <c r="F4969" s="338"/>
      <c r="G4969" s="338" t="s">
        <v>413</v>
      </c>
      <c r="H4969" s="338" t="s">
        <v>412</v>
      </c>
      <c r="I4969" s="338" t="s">
        <v>411</v>
      </c>
      <c r="J4969" s="339"/>
      <c r="K4969" s="339"/>
      <c r="L4969" s="339" t="s">
        <v>409</v>
      </c>
      <c r="M4969" s="339" t="s">
        <v>409</v>
      </c>
      <c r="N4969" s="338"/>
      <c r="O4969" s="338" t="s">
        <v>409</v>
      </c>
      <c r="P4969" s="338" t="s">
        <v>432</v>
      </c>
    </row>
    <row r="4970" spans="2:16" x14ac:dyDescent="0.25">
      <c r="B4970" s="336" t="s">
        <v>416</v>
      </c>
      <c r="C4970" s="337">
        <v>38252</v>
      </c>
      <c r="D4970" s="338" t="s">
        <v>504</v>
      </c>
      <c r="E4970" s="336" t="s">
        <v>503</v>
      </c>
      <c r="F4970" s="338"/>
      <c r="G4970" s="338">
        <v>6.58</v>
      </c>
      <c r="H4970" s="338" t="s">
        <v>336</v>
      </c>
      <c r="I4970" s="338" t="s">
        <v>411</v>
      </c>
      <c r="J4970" s="339"/>
      <c r="K4970" s="339"/>
      <c r="L4970" s="339" t="s">
        <v>409</v>
      </c>
      <c r="M4970" s="339" t="s">
        <v>409</v>
      </c>
      <c r="N4970" s="338" t="s">
        <v>417</v>
      </c>
      <c r="O4970" s="338" t="s">
        <v>409</v>
      </c>
      <c r="P4970" s="338" t="s">
        <v>408</v>
      </c>
    </row>
    <row r="4971" spans="2:16" x14ac:dyDescent="0.25">
      <c r="B4971" s="336" t="s">
        <v>416</v>
      </c>
      <c r="C4971" s="337">
        <v>38251</v>
      </c>
      <c r="D4971" s="338" t="s">
        <v>502</v>
      </c>
      <c r="E4971" s="336" t="s">
        <v>501</v>
      </c>
      <c r="F4971" s="338" t="s">
        <v>500</v>
      </c>
      <c r="G4971" s="338" t="s">
        <v>413</v>
      </c>
      <c r="H4971" s="338" t="s">
        <v>412</v>
      </c>
      <c r="I4971" s="338" t="s">
        <v>411</v>
      </c>
      <c r="J4971" s="339"/>
      <c r="K4971" s="339"/>
      <c r="L4971" s="339"/>
      <c r="M4971" s="339"/>
      <c r="N4971" s="338"/>
      <c r="O4971" s="338" t="s">
        <v>417</v>
      </c>
      <c r="P4971" s="338" t="s">
        <v>417</v>
      </c>
    </row>
    <row r="4972" spans="2:16" x14ac:dyDescent="0.25">
      <c r="B4972" s="336" t="s">
        <v>416</v>
      </c>
      <c r="C4972" s="337">
        <v>38251</v>
      </c>
      <c r="D4972" s="338" t="s">
        <v>499</v>
      </c>
      <c r="E4972" s="336" t="s">
        <v>498</v>
      </c>
      <c r="F4972" s="338"/>
      <c r="G4972" s="338" t="s">
        <v>413</v>
      </c>
      <c r="H4972" s="338" t="s">
        <v>336</v>
      </c>
      <c r="I4972" s="338" t="s">
        <v>411</v>
      </c>
      <c r="J4972" s="339"/>
      <c r="K4972" s="339"/>
      <c r="L4972" s="339" t="s">
        <v>409</v>
      </c>
      <c r="M4972" s="339" t="s">
        <v>409</v>
      </c>
      <c r="N4972" s="338" t="s">
        <v>410</v>
      </c>
      <c r="O4972" s="338" t="s">
        <v>409</v>
      </c>
      <c r="P4972" s="338" t="s">
        <v>410</v>
      </c>
    </row>
    <row r="4973" spans="2:16" x14ac:dyDescent="0.25">
      <c r="B4973" s="336" t="s">
        <v>416</v>
      </c>
      <c r="C4973" s="337">
        <v>38250</v>
      </c>
      <c r="D4973" s="338" t="s">
        <v>497</v>
      </c>
      <c r="E4973" s="336" t="s">
        <v>496</v>
      </c>
      <c r="F4973" s="338"/>
      <c r="G4973" s="338" t="s">
        <v>413</v>
      </c>
      <c r="H4973" s="338" t="s">
        <v>412</v>
      </c>
      <c r="I4973" s="338" t="s">
        <v>411</v>
      </c>
      <c r="J4973" s="339"/>
      <c r="K4973" s="339"/>
      <c r="L4973" s="339" t="s">
        <v>409</v>
      </c>
      <c r="M4973" s="339" t="s">
        <v>409</v>
      </c>
      <c r="N4973" s="338" t="s">
        <v>417</v>
      </c>
      <c r="O4973" s="338" t="s">
        <v>409</v>
      </c>
      <c r="P4973" s="338" t="s">
        <v>410</v>
      </c>
    </row>
    <row r="4974" spans="2:16" x14ac:dyDescent="0.25">
      <c r="B4974" s="336" t="s">
        <v>416</v>
      </c>
      <c r="C4974" s="337">
        <v>38250</v>
      </c>
      <c r="D4974" s="338" t="s">
        <v>495</v>
      </c>
      <c r="E4974" s="336" t="s">
        <v>494</v>
      </c>
      <c r="F4974" s="338" t="s">
        <v>493</v>
      </c>
      <c r="G4974" s="338" t="s">
        <v>413</v>
      </c>
      <c r="H4974" s="338" t="s">
        <v>412</v>
      </c>
      <c r="I4974" s="338" t="s">
        <v>411</v>
      </c>
      <c r="J4974" s="339"/>
      <c r="K4974" s="339"/>
      <c r="L4974" s="339"/>
      <c r="M4974" s="339"/>
      <c r="N4974" s="338" t="s">
        <v>417</v>
      </c>
      <c r="O4974" s="338" t="s">
        <v>443</v>
      </c>
      <c r="P4974" s="338" t="s">
        <v>443</v>
      </c>
    </row>
    <row r="4975" spans="2:16" x14ac:dyDescent="0.25">
      <c r="B4975" s="336" t="s">
        <v>416</v>
      </c>
      <c r="C4975" s="337">
        <v>38250</v>
      </c>
      <c r="D4975" s="338" t="s">
        <v>492</v>
      </c>
      <c r="E4975" s="336" t="s">
        <v>491</v>
      </c>
      <c r="F4975" s="338"/>
      <c r="G4975" s="338">
        <v>6.32</v>
      </c>
      <c r="H4975" s="338" t="s">
        <v>336</v>
      </c>
      <c r="I4975" s="338" t="s">
        <v>411</v>
      </c>
      <c r="J4975" s="339"/>
      <c r="K4975" s="339"/>
      <c r="L4975" s="339" t="s">
        <v>409</v>
      </c>
      <c r="M4975" s="339" t="s">
        <v>409</v>
      </c>
      <c r="N4975" s="338" t="s">
        <v>417</v>
      </c>
      <c r="O4975" s="338" t="s">
        <v>409</v>
      </c>
      <c r="P4975" s="338" t="s">
        <v>432</v>
      </c>
    </row>
    <row r="4976" spans="2:16" x14ac:dyDescent="0.25">
      <c r="B4976" s="336" t="s">
        <v>416</v>
      </c>
      <c r="C4976" s="337">
        <v>38250</v>
      </c>
      <c r="D4976" s="338" t="s">
        <v>490</v>
      </c>
      <c r="E4976" s="336" t="s">
        <v>489</v>
      </c>
      <c r="F4976" s="338" t="s">
        <v>488</v>
      </c>
      <c r="G4976" s="338" t="s">
        <v>413</v>
      </c>
      <c r="H4976" s="338" t="s">
        <v>412</v>
      </c>
      <c r="I4976" s="338" t="s">
        <v>411</v>
      </c>
      <c r="J4976" s="339"/>
      <c r="K4976" s="339"/>
      <c r="L4976" s="339">
        <v>0.46422200000000002</v>
      </c>
      <c r="M4976" s="339"/>
      <c r="N4976" s="338"/>
      <c r="O4976" s="338" t="s">
        <v>417</v>
      </c>
      <c r="P4976" s="338" t="s">
        <v>487</v>
      </c>
    </row>
    <row r="4977" spans="2:16" x14ac:dyDescent="0.25">
      <c r="B4977" s="336" t="s">
        <v>416</v>
      </c>
      <c r="C4977" s="337">
        <v>38246</v>
      </c>
      <c r="D4977" s="338" t="s">
        <v>486</v>
      </c>
      <c r="E4977" s="336" t="s">
        <v>485</v>
      </c>
      <c r="F4977" s="338"/>
      <c r="G4977" s="338">
        <v>7.62</v>
      </c>
      <c r="H4977" s="338" t="s">
        <v>418</v>
      </c>
      <c r="I4977" s="338" t="s">
        <v>411</v>
      </c>
      <c r="J4977" s="339"/>
      <c r="K4977" s="339"/>
      <c r="L4977" s="339" t="s">
        <v>409</v>
      </c>
      <c r="M4977" s="339" t="s">
        <v>409</v>
      </c>
      <c r="N4977" s="338"/>
      <c r="O4977" s="338" t="s">
        <v>409</v>
      </c>
      <c r="P4977" s="338" t="s">
        <v>417</v>
      </c>
    </row>
    <row r="4978" spans="2:16" x14ac:dyDescent="0.25">
      <c r="B4978" s="336" t="s">
        <v>416</v>
      </c>
      <c r="C4978" s="337">
        <v>38245</v>
      </c>
      <c r="D4978" s="338" t="s">
        <v>484</v>
      </c>
      <c r="E4978" s="336" t="s">
        <v>483</v>
      </c>
      <c r="F4978" s="338"/>
      <c r="G4978" s="338">
        <v>3</v>
      </c>
      <c r="H4978" s="338" t="s">
        <v>418</v>
      </c>
      <c r="I4978" s="338" t="s">
        <v>411</v>
      </c>
      <c r="J4978" s="339"/>
      <c r="K4978" s="339"/>
      <c r="L4978" s="339" t="s">
        <v>409</v>
      </c>
      <c r="M4978" s="339" t="s">
        <v>409</v>
      </c>
      <c r="N4978" s="338" t="s">
        <v>482</v>
      </c>
      <c r="O4978" s="338" t="s">
        <v>409</v>
      </c>
      <c r="P4978" s="338" t="s">
        <v>417</v>
      </c>
    </row>
    <row r="4979" spans="2:16" x14ac:dyDescent="0.25">
      <c r="B4979" s="336" t="s">
        <v>416</v>
      </c>
      <c r="C4979" s="337">
        <v>38245</v>
      </c>
      <c r="D4979" s="338" t="s">
        <v>481</v>
      </c>
      <c r="E4979" s="336" t="s">
        <v>480</v>
      </c>
      <c r="F4979" s="338" t="s">
        <v>479</v>
      </c>
      <c r="G4979" s="338" t="s">
        <v>413</v>
      </c>
      <c r="H4979" s="338" t="s">
        <v>425</v>
      </c>
      <c r="I4979" s="338" t="s">
        <v>411</v>
      </c>
      <c r="J4979" s="339"/>
      <c r="K4979" s="339"/>
      <c r="L4979" s="339"/>
      <c r="M4979" s="339"/>
      <c r="N4979" s="338" t="s">
        <v>417</v>
      </c>
      <c r="O4979" s="338" t="s">
        <v>443</v>
      </c>
      <c r="P4979" s="338" t="s">
        <v>443</v>
      </c>
    </row>
    <row r="4980" spans="2:16" x14ac:dyDescent="0.25">
      <c r="B4980" s="336" t="s">
        <v>416</v>
      </c>
      <c r="C4980" s="337">
        <v>38245</v>
      </c>
      <c r="D4980" s="338" t="s">
        <v>478</v>
      </c>
      <c r="E4980" s="336" t="s">
        <v>477</v>
      </c>
      <c r="F4980" s="338"/>
      <c r="G4980" s="338">
        <v>131.19999999999999</v>
      </c>
      <c r="H4980" s="338" t="s">
        <v>412</v>
      </c>
      <c r="I4980" s="338" t="s">
        <v>411</v>
      </c>
      <c r="J4980" s="339"/>
      <c r="K4980" s="339"/>
      <c r="L4980" s="339" t="s">
        <v>409</v>
      </c>
      <c r="M4980" s="339" t="s">
        <v>409</v>
      </c>
      <c r="N4980" s="338" t="s">
        <v>417</v>
      </c>
      <c r="O4980" s="338" t="s">
        <v>409</v>
      </c>
      <c r="P4980" s="338" t="s">
        <v>417</v>
      </c>
    </row>
    <row r="4981" spans="2:16" x14ac:dyDescent="0.25">
      <c r="B4981" s="336" t="s">
        <v>416</v>
      </c>
      <c r="C4981" s="337">
        <v>38244</v>
      </c>
      <c r="D4981" s="338" t="s">
        <v>476</v>
      </c>
      <c r="E4981" s="336" t="s">
        <v>475</v>
      </c>
      <c r="F4981" s="338"/>
      <c r="G4981" s="338" t="s">
        <v>413</v>
      </c>
      <c r="H4981" s="338" t="s">
        <v>412</v>
      </c>
      <c r="I4981" s="338" t="s">
        <v>411</v>
      </c>
      <c r="J4981" s="339"/>
      <c r="K4981" s="339"/>
      <c r="L4981" s="339" t="s">
        <v>409</v>
      </c>
      <c r="M4981" s="339" t="s">
        <v>409</v>
      </c>
      <c r="N4981" s="338"/>
      <c r="O4981" s="338" t="s">
        <v>409</v>
      </c>
      <c r="P4981" s="338" t="s">
        <v>417</v>
      </c>
    </row>
    <row r="4982" spans="2:16" x14ac:dyDescent="0.25">
      <c r="B4982" s="336" t="s">
        <v>416</v>
      </c>
      <c r="C4982" s="337">
        <v>38244</v>
      </c>
      <c r="D4982" s="338" t="s">
        <v>474</v>
      </c>
      <c r="E4982" s="336" t="s">
        <v>473</v>
      </c>
      <c r="F4982" s="338" t="s">
        <v>472</v>
      </c>
      <c r="G4982" s="338">
        <v>15.4</v>
      </c>
      <c r="H4982" s="338" t="s">
        <v>425</v>
      </c>
      <c r="I4982" s="338" t="s">
        <v>411</v>
      </c>
      <c r="J4982" s="339"/>
      <c r="K4982" s="339"/>
      <c r="L4982" s="339"/>
      <c r="M4982" s="339"/>
      <c r="N4982" s="338"/>
      <c r="O4982" s="338" t="s">
        <v>417</v>
      </c>
      <c r="P4982" s="338" t="s">
        <v>410</v>
      </c>
    </row>
    <row r="4983" spans="2:16" x14ac:dyDescent="0.25">
      <c r="B4983" s="336" t="s">
        <v>416</v>
      </c>
      <c r="C4983" s="337">
        <v>38243</v>
      </c>
      <c r="D4983" s="338" t="s">
        <v>471</v>
      </c>
      <c r="E4983" s="336" t="s">
        <v>470</v>
      </c>
      <c r="F4983" s="338"/>
      <c r="G4983" s="338">
        <v>4812.07</v>
      </c>
      <c r="H4983" s="338" t="s">
        <v>425</v>
      </c>
      <c r="I4983" s="338" t="s">
        <v>411</v>
      </c>
      <c r="J4983" s="339">
        <v>2.7231000000000001</v>
      </c>
      <c r="K4983" s="339">
        <v>79.0976</v>
      </c>
      <c r="L4983" s="339" t="s">
        <v>409</v>
      </c>
      <c r="M4983" s="339" t="s">
        <v>409</v>
      </c>
      <c r="N4983" s="338" t="s">
        <v>417</v>
      </c>
      <c r="O4983" s="338" t="s">
        <v>409</v>
      </c>
      <c r="P4983" s="338"/>
    </row>
    <row r="4984" spans="2:16" x14ac:dyDescent="0.25">
      <c r="B4984" s="336" t="s">
        <v>416</v>
      </c>
      <c r="C4984" s="337">
        <v>38243</v>
      </c>
      <c r="D4984" s="338" t="s">
        <v>469</v>
      </c>
      <c r="E4984" s="336" t="s">
        <v>468</v>
      </c>
      <c r="F4984" s="338"/>
      <c r="G4984" s="338">
        <v>9.15</v>
      </c>
      <c r="H4984" s="338" t="s">
        <v>425</v>
      </c>
      <c r="I4984" s="338" t="s">
        <v>411</v>
      </c>
      <c r="J4984" s="339">
        <v>0.14375599999999999</v>
      </c>
      <c r="K4984" s="339"/>
      <c r="L4984" s="339" t="s">
        <v>409</v>
      </c>
      <c r="M4984" s="339" t="s">
        <v>409</v>
      </c>
      <c r="N4984" s="338" t="s">
        <v>417</v>
      </c>
      <c r="O4984" s="338" t="s">
        <v>409</v>
      </c>
      <c r="P4984" s="338" t="s">
        <v>443</v>
      </c>
    </row>
    <row r="4985" spans="2:16" x14ac:dyDescent="0.25">
      <c r="B4985" s="336" t="s">
        <v>416</v>
      </c>
      <c r="C4985" s="337">
        <v>38243</v>
      </c>
      <c r="D4985" s="338" t="s">
        <v>469</v>
      </c>
      <c r="E4985" s="336" t="s">
        <v>468</v>
      </c>
      <c r="F4985" s="338"/>
      <c r="G4985" s="338">
        <v>13.09</v>
      </c>
      <c r="H4985" s="338" t="s">
        <v>425</v>
      </c>
      <c r="I4985" s="338" t="s">
        <v>411</v>
      </c>
      <c r="J4985" s="339">
        <v>0.14375599999999999</v>
      </c>
      <c r="K4985" s="339"/>
      <c r="L4985" s="339" t="s">
        <v>409</v>
      </c>
      <c r="M4985" s="339" t="s">
        <v>409</v>
      </c>
      <c r="N4985" s="338" t="s">
        <v>417</v>
      </c>
      <c r="O4985" s="338" t="s">
        <v>409</v>
      </c>
      <c r="P4985" s="338" t="s">
        <v>443</v>
      </c>
    </row>
    <row r="4986" spans="2:16" x14ac:dyDescent="0.25">
      <c r="B4986" s="336" t="s">
        <v>416</v>
      </c>
      <c r="C4986" s="337">
        <v>38240</v>
      </c>
      <c r="D4986" s="338" t="s">
        <v>467</v>
      </c>
      <c r="E4986" s="336" t="s">
        <v>466</v>
      </c>
      <c r="F4986" s="338" t="s">
        <v>465</v>
      </c>
      <c r="G4986" s="338" t="s">
        <v>413</v>
      </c>
      <c r="H4986" s="338" t="s">
        <v>412</v>
      </c>
      <c r="I4986" s="338" t="s">
        <v>411</v>
      </c>
      <c r="J4986" s="339"/>
      <c r="K4986" s="339"/>
      <c r="L4986" s="339"/>
      <c r="M4986" s="339"/>
      <c r="N4986" s="338"/>
      <c r="O4986" s="338" t="s">
        <v>417</v>
      </c>
      <c r="P4986" s="338" t="s">
        <v>432</v>
      </c>
    </row>
    <row r="4987" spans="2:16" x14ac:dyDescent="0.25">
      <c r="B4987" s="336" t="s">
        <v>416</v>
      </c>
      <c r="C4987" s="337">
        <v>38239</v>
      </c>
      <c r="D4987" s="338" t="s">
        <v>464</v>
      </c>
      <c r="E4987" s="336" t="s">
        <v>463</v>
      </c>
      <c r="F4987" s="338"/>
      <c r="G4987" s="338" t="s">
        <v>413</v>
      </c>
      <c r="H4987" s="338" t="s">
        <v>412</v>
      </c>
      <c r="I4987" s="338" t="s">
        <v>411</v>
      </c>
      <c r="J4987" s="339"/>
      <c r="K4987" s="339"/>
      <c r="L4987" s="339" t="s">
        <v>409</v>
      </c>
      <c r="M4987" s="339" t="s">
        <v>409</v>
      </c>
      <c r="N4987" s="338" t="s">
        <v>417</v>
      </c>
      <c r="O4987" s="338" t="s">
        <v>409</v>
      </c>
      <c r="P4987" s="338" t="s">
        <v>417</v>
      </c>
    </row>
    <row r="4988" spans="2:16" x14ac:dyDescent="0.25">
      <c r="B4988" s="336" t="s">
        <v>416</v>
      </c>
      <c r="C4988" s="337">
        <v>38238</v>
      </c>
      <c r="D4988" s="338" t="s">
        <v>462</v>
      </c>
      <c r="E4988" s="336" t="s">
        <v>461</v>
      </c>
      <c r="F4988" s="338"/>
      <c r="G4988" s="338" t="s">
        <v>413</v>
      </c>
      <c r="H4988" s="338" t="s">
        <v>412</v>
      </c>
      <c r="I4988" s="338" t="s">
        <v>411</v>
      </c>
      <c r="J4988" s="339"/>
      <c r="K4988" s="339"/>
      <c r="L4988" s="339" t="s">
        <v>409</v>
      </c>
      <c r="M4988" s="339" t="s">
        <v>409</v>
      </c>
      <c r="N4988" s="338" t="s">
        <v>417</v>
      </c>
      <c r="O4988" s="338" t="s">
        <v>409</v>
      </c>
      <c r="P4988" s="338" t="s">
        <v>417</v>
      </c>
    </row>
    <row r="4989" spans="2:16" x14ac:dyDescent="0.25">
      <c r="B4989" s="336" t="s">
        <v>416</v>
      </c>
      <c r="C4989" s="337">
        <v>38238</v>
      </c>
      <c r="D4989" s="338" t="s">
        <v>460</v>
      </c>
      <c r="E4989" s="336" t="s">
        <v>453</v>
      </c>
      <c r="F4989" s="338" t="s">
        <v>452</v>
      </c>
      <c r="G4989" s="338">
        <v>30.25</v>
      </c>
      <c r="H4989" s="338" t="s">
        <v>425</v>
      </c>
      <c r="I4989" s="338" t="s">
        <v>411</v>
      </c>
      <c r="J4989" s="339"/>
      <c r="K4989" s="339"/>
      <c r="L4989" s="339">
        <v>4.6635</v>
      </c>
      <c r="M4989" s="339">
        <v>14.8025</v>
      </c>
      <c r="N4989" s="338" t="s">
        <v>417</v>
      </c>
      <c r="O4989" s="338" t="s">
        <v>417</v>
      </c>
      <c r="P4989" s="338" t="s">
        <v>443</v>
      </c>
    </row>
    <row r="4990" spans="2:16" x14ac:dyDescent="0.25">
      <c r="B4990" s="336" t="s">
        <v>459</v>
      </c>
      <c r="C4990" s="337">
        <v>38238</v>
      </c>
      <c r="D4990" s="338" t="s">
        <v>458</v>
      </c>
      <c r="E4990" s="336" t="s">
        <v>457</v>
      </c>
      <c r="F4990" s="338"/>
      <c r="G4990" s="338">
        <v>39</v>
      </c>
      <c r="H4990" s="338" t="s">
        <v>425</v>
      </c>
      <c r="I4990" s="338" t="s">
        <v>411</v>
      </c>
      <c r="J4990" s="339"/>
      <c r="K4990" s="339"/>
      <c r="L4990" s="339" t="s">
        <v>409</v>
      </c>
      <c r="M4990" s="339" t="s">
        <v>409</v>
      </c>
      <c r="N4990" s="338"/>
      <c r="O4990" s="338" t="s">
        <v>409</v>
      </c>
      <c r="P4990" s="338" t="s">
        <v>417</v>
      </c>
    </row>
    <row r="4991" spans="2:16" x14ac:dyDescent="0.25">
      <c r="B4991" s="336" t="s">
        <v>416</v>
      </c>
      <c r="C4991" s="337">
        <v>38238</v>
      </c>
      <c r="D4991" s="338" t="s">
        <v>456</v>
      </c>
      <c r="E4991" s="336" t="s">
        <v>455</v>
      </c>
      <c r="F4991" s="338"/>
      <c r="G4991" s="338">
        <v>25</v>
      </c>
      <c r="H4991" s="338" t="s">
        <v>425</v>
      </c>
      <c r="I4991" s="338" t="s">
        <v>411</v>
      </c>
      <c r="J4991" s="339"/>
      <c r="K4991" s="339"/>
      <c r="L4991" s="339" t="s">
        <v>409</v>
      </c>
      <c r="M4991" s="339" t="s">
        <v>409</v>
      </c>
      <c r="N4991" s="338"/>
      <c r="O4991" s="338" t="s">
        <v>409</v>
      </c>
      <c r="P4991" s="338" t="s">
        <v>443</v>
      </c>
    </row>
    <row r="4992" spans="2:16" x14ac:dyDescent="0.25">
      <c r="B4992" s="336" t="s">
        <v>416</v>
      </c>
      <c r="C4992" s="337">
        <v>38238</v>
      </c>
      <c r="D4992" s="338" t="s">
        <v>454</v>
      </c>
      <c r="E4992" s="336" t="s">
        <v>453</v>
      </c>
      <c r="F4992" s="338" t="s">
        <v>452</v>
      </c>
      <c r="G4992" s="338" t="s">
        <v>413</v>
      </c>
      <c r="H4992" s="338" t="s">
        <v>425</v>
      </c>
      <c r="I4992" s="338" t="s">
        <v>411</v>
      </c>
      <c r="J4992" s="339"/>
      <c r="K4992" s="339"/>
      <c r="L4992" s="339">
        <v>4.6635</v>
      </c>
      <c r="M4992" s="339">
        <v>14.8025</v>
      </c>
      <c r="N4992" s="338" t="s">
        <v>417</v>
      </c>
      <c r="O4992" s="338" t="s">
        <v>417</v>
      </c>
      <c r="P4992" s="338" t="s">
        <v>443</v>
      </c>
    </row>
    <row r="4993" spans="2:16" x14ac:dyDescent="0.25">
      <c r="B4993" s="336" t="s">
        <v>416</v>
      </c>
      <c r="C4993" s="337">
        <v>38238</v>
      </c>
      <c r="D4993" s="338" t="s">
        <v>451</v>
      </c>
      <c r="E4993" s="336" t="s">
        <v>450</v>
      </c>
      <c r="F4993" s="338" t="s">
        <v>449</v>
      </c>
      <c r="G4993" s="338">
        <v>96.93</v>
      </c>
      <c r="H4993" s="338" t="s">
        <v>429</v>
      </c>
      <c r="I4993" s="338" t="s">
        <v>411</v>
      </c>
      <c r="J4993" s="339"/>
      <c r="K4993" s="339"/>
      <c r="L4993" s="339">
        <v>7.5017100000000003E-2</v>
      </c>
      <c r="M4993" s="339">
        <v>3.4333100000000001</v>
      </c>
      <c r="N4993" s="338"/>
      <c r="O4993" s="338" t="s">
        <v>417</v>
      </c>
      <c r="P4993" s="338" t="s">
        <v>417</v>
      </c>
    </row>
    <row r="4994" spans="2:16" x14ac:dyDescent="0.25">
      <c r="B4994" s="336" t="s">
        <v>416</v>
      </c>
      <c r="C4994" s="337">
        <v>38236</v>
      </c>
      <c r="D4994" s="338" t="s">
        <v>448</v>
      </c>
      <c r="E4994" s="336" t="s">
        <v>447</v>
      </c>
      <c r="F4994" s="338"/>
      <c r="G4994" s="338" t="s">
        <v>413</v>
      </c>
      <c r="H4994" s="338" t="s">
        <v>412</v>
      </c>
      <c r="I4994" s="338" t="s">
        <v>411</v>
      </c>
      <c r="J4994" s="339"/>
      <c r="K4994" s="339"/>
      <c r="L4994" s="339" t="s">
        <v>409</v>
      </c>
      <c r="M4994" s="339" t="s">
        <v>409</v>
      </c>
      <c r="N4994" s="338" t="s">
        <v>417</v>
      </c>
      <c r="O4994" s="338" t="s">
        <v>409</v>
      </c>
      <c r="P4994" s="338" t="s">
        <v>417</v>
      </c>
    </row>
    <row r="4995" spans="2:16" x14ac:dyDescent="0.25">
      <c r="B4995" s="336" t="s">
        <v>416</v>
      </c>
      <c r="C4995" s="337">
        <v>38233</v>
      </c>
      <c r="D4995" s="338" t="s">
        <v>446</v>
      </c>
      <c r="E4995" s="336" t="s">
        <v>445</v>
      </c>
      <c r="F4995" s="338" t="s">
        <v>444</v>
      </c>
      <c r="G4995" s="338">
        <v>8.8000000000000007</v>
      </c>
      <c r="H4995" s="338" t="s">
        <v>418</v>
      </c>
      <c r="I4995" s="338" t="s">
        <v>411</v>
      </c>
      <c r="J4995" s="339">
        <v>0.57777800000000001</v>
      </c>
      <c r="K4995" s="339">
        <v>5.8871500000000001</v>
      </c>
      <c r="L4995" s="339"/>
      <c r="M4995" s="339"/>
      <c r="N4995" s="338" t="s">
        <v>417</v>
      </c>
      <c r="O4995" s="338" t="s">
        <v>417</v>
      </c>
      <c r="P4995" s="338" t="s">
        <v>443</v>
      </c>
    </row>
    <row r="4996" spans="2:16" x14ac:dyDescent="0.25">
      <c r="B4996" s="336" t="s">
        <v>416</v>
      </c>
      <c r="C4996" s="337">
        <v>38233</v>
      </c>
      <c r="D4996" s="338" t="s">
        <v>442</v>
      </c>
      <c r="E4996" s="336" t="s">
        <v>441</v>
      </c>
      <c r="F4996" s="338" t="s">
        <v>440</v>
      </c>
      <c r="G4996" s="338">
        <v>32.99</v>
      </c>
      <c r="H4996" s="338" t="s">
        <v>425</v>
      </c>
      <c r="I4996" s="338" t="s">
        <v>411</v>
      </c>
      <c r="J4996" s="339"/>
      <c r="K4996" s="339"/>
      <c r="L4996" s="339">
        <v>0.72584899999999997</v>
      </c>
      <c r="M4996" s="339">
        <v>4.8051899999999996</v>
      </c>
      <c r="N4996" s="338"/>
      <c r="O4996" s="338" t="s">
        <v>408</v>
      </c>
      <c r="P4996" s="338" t="s">
        <v>417</v>
      </c>
    </row>
    <row r="4997" spans="2:16" x14ac:dyDescent="0.25">
      <c r="B4997" s="336" t="s">
        <v>416</v>
      </c>
      <c r="C4997" s="337">
        <v>38232</v>
      </c>
      <c r="D4997" s="338" t="s">
        <v>439</v>
      </c>
      <c r="E4997" s="336" t="s">
        <v>438</v>
      </c>
      <c r="F4997" s="338"/>
      <c r="G4997" s="338">
        <v>6</v>
      </c>
      <c r="H4997" s="338" t="s">
        <v>425</v>
      </c>
      <c r="I4997" s="338" t="s">
        <v>411</v>
      </c>
      <c r="J4997" s="339"/>
      <c r="K4997" s="339"/>
      <c r="L4997" s="339" t="s">
        <v>409</v>
      </c>
      <c r="M4997" s="339" t="s">
        <v>409</v>
      </c>
      <c r="N4997" s="338" t="s">
        <v>417</v>
      </c>
      <c r="O4997" s="338" t="s">
        <v>409</v>
      </c>
      <c r="P4997" s="338" t="s">
        <v>417</v>
      </c>
    </row>
    <row r="4998" spans="2:16" x14ac:dyDescent="0.25">
      <c r="B4998" s="336" t="s">
        <v>416</v>
      </c>
      <c r="C4998" s="337">
        <v>38231</v>
      </c>
      <c r="D4998" s="338" t="s">
        <v>437</v>
      </c>
      <c r="E4998" s="336" t="s">
        <v>436</v>
      </c>
      <c r="F4998" s="338" t="s">
        <v>435</v>
      </c>
      <c r="G4998" s="338">
        <v>47</v>
      </c>
      <c r="H4998" s="338" t="s">
        <v>425</v>
      </c>
      <c r="I4998" s="338" t="s">
        <v>411</v>
      </c>
      <c r="J4998" s="339"/>
      <c r="K4998" s="339"/>
      <c r="L4998" s="339"/>
      <c r="M4998" s="339"/>
      <c r="N4998" s="338"/>
      <c r="O4998" s="338" t="s">
        <v>417</v>
      </c>
      <c r="P4998" s="338" t="s">
        <v>417</v>
      </c>
    </row>
    <row r="4999" spans="2:16" x14ac:dyDescent="0.25">
      <c r="B4999" s="336" t="s">
        <v>416</v>
      </c>
      <c r="C4999" s="337">
        <v>38231</v>
      </c>
      <c r="D4999" s="338" t="s">
        <v>146</v>
      </c>
      <c r="E4999" s="336" t="s">
        <v>434</v>
      </c>
      <c r="F4999" s="338" t="s">
        <v>433</v>
      </c>
      <c r="G4999" s="338">
        <v>19</v>
      </c>
      <c r="H4999" s="338" t="s">
        <v>425</v>
      </c>
      <c r="I4999" s="338" t="s">
        <v>411</v>
      </c>
      <c r="J4999" s="339"/>
      <c r="K4999" s="339"/>
      <c r="L4999" s="339"/>
      <c r="M4999" s="339"/>
      <c r="N4999" s="338"/>
      <c r="O4999" s="338" t="s">
        <v>432</v>
      </c>
      <c r="P4999" s="338" t="s">
        <v>417</v>
      </c>
    </row>
    <row r="5000" spans="2:16" x14ac:dyDescent="0.25">
      <c r="B5000" s="336" t="s">
        <v>416</v>
      </c>
      <c r="C5000" s="337">
        <v>38231</v>
      </c>
      <c r="D5000" s="338" t="s">
        <v>431</v>
      </c>
      <c r="E5000" s="336" t="s">
        <v>430</v>
      </c>
      <c r="F5000" s="338"/>
      <c r="G5000" s="338" t="s">
        <v>413</v>
      </c>
      <c r="H5000" s="338" t="s">
        <v>429</v>
      </c>
      <c r="I5000" s="338" t="s">
        <v>411</v>
      </c>
      <c r="J5000" s="339"/>
      <c r="K5000" s="339"/>
      <c r="L5000" s="339" t="s">
        <v>409</v>
      </c>
      <c r="M5000" s="339" t="s">
        <v>409</v>
      </c>
      <c r="N5000" s="338" t="s">
        <v>417</v>
      </c>
      <c r="O5000" s="338" t="s">
        <v>409</v>
      </c>
      <c r="P5000" s="338" t="s">
        <v>408</v>
      </c>
    </row>
    <row r="5001" spans="2:16" x14ac:dyDescent="0.25">
      <c r="B5001" s="336" t="s">
        <v>416</v>
      </c>
      <c r="C5001" s="337">
        <v>38230</v>
      </c>
      <c r="D5001" s="338" t="s">
        <v>428</v>
      </c>
      <c r="E5001" s="336" t="s">
        <v>427</v>
      </c>
      <c r="F5001" s="338" t="s">
        <v>426</v>
      </c>
      <c r="G5001" s="338" t="s">
        <v>413</v>
      </c>
      <c r="H5001" s="338" t="s">
        <v>425</v>
      </c>
      <c r="I5001" s="338" t="s">
        <v>411</v>
      </c>
      <c r="J5001" s="339"/>
      <c r="K5001" s="339"/>
      <c r="L5001" s="339"/>
      <c r="M5001" s="339"/>
      <c r="N5001" s="338"/>
      <c r="O5001" s="338" t="s">
        <v>417</v>
      </c>
      <c r="P5001" s="338" t="s">
        <v>410</v>
      </c>
    </row>
    <row r="5002" spans="2:16" x14ac:dyDescent="0.25">
      <c r="B5002" s="336" t="s">
        <v>416</v>
      </c>
      <c r="C5002" s="337">
        <v>38229</v>
      </c>
      <c r="D5002" s="338" t="s">
        <v>424</v>
      </c>
      <c r="E5002" s="336" t="s">
        <v>423</v>
      </c>
      <c r="F5002" s="338" t="s">
        <v>422</v>
      </c>
      <c r="G5002" s="338" t="s">
        <v>413</v>
      </c>
      <c r="H5002" s="338" t="s">
        <v>412</v>
      </c>
      <c r="I5002" s="338" t="s">
        <v>411</v>
      </c>
      <c r="J5002" s="339"/>
      <c r="K5002" s="339"/>
      <c r="L5002" s="339">
        <v>0.18251100000000001</v>
      </c>
      <c r="M5002" s="339"/>
      <c r="N5002" s="338" t="s">
        <v>417</v>
      </c>
      <c r="O5002" s="338" t="s">
        <v>417</v>
      </c>
      <c r="P5002" s="338"/>
    </row>
    <row r="5003" spans="2:16" x14ac:dyDescent="0.25">
      <c r="B5003" s="336" t="s">
        <v>416</v>
      </c>
      <c r="C5003" s="337">
        <v>38229</v>
      </c>
      <c r="D5003" s="338" t="s">
        <v>421</v>
      </c>
      <c r="E5003" s="336" t="s">
        <v>420</v>
      </c>
      <c r="F5003" s="338" t="s">
        <v>419</v>
      </c>
      <c r="G5003" s="338" t="s">
        <v>413</v>
      </c>
      <c r="H5003" s="338" t="s">
        <v>418</v>
      </c>
      <c r="I5003" s="338" t="s">
        <v>411</v>
      </c>
      <c r="J5003" s="339"/>
      <c r="K5003" s="339"/>
      <c r="L5003" s="339">
        <v>0.64154199999999995</v>
      </c>
      <c r="M5003" s="339">
        <v>2.8073899999999998</v>
      </c>
      <c r="N5003" s="338" t="s">
        <v>417</v>
      </c>
      <c r="O5003" s="338" t="s">
        <v>417</v>
      </c>
      <c r="P5003" s="338" t="s">
        <v>417</v>
      </c>
    </row>
    <row r="5004" spans="2:16" x14ac:dyDescent="0.25">
      <c r="B5004" s="336" t="s">
        <v>416</v>
      </c>
      <c r="C5004" s="337">
        <v>38229</v>
      </c>
      <c r="D5004" s="338" t="s">
        <v>415</v>
      </c>
      <c r="E5004" s="336" t="s">
        <v>414</v>
      </c>
      <c r="F5004" s="338"/>
      <c r="G5004" s="338" t="s">
        <v>413</v>
      </c>
      <c r="H5004" s="338" t="s">
        <v>412</v>
      </c>
      <c r="I5004" s="338" t="s">
        <v>411</v>
      </c>
      <c r="J5004" s="339"/>
      <c r="K5004" s="339"/>
      <c r="L5004" s="339" t="s">
        <v>409</v>
      </c>
      <c r="M5004" s="339" t="s">
        <v>409</v>
      </c>
      <c r="N5004" s="338" t="s">
        <v>410</v>
      </c>
      <c r="O5004" s="338" t="s">
        <v>409</v>
      </c>
      <c r="P5004" s="338" t="s">
        <v>408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Export</vt:lpstr>
      <vt:lpstr>HDS-Data</vt:lpstr>
      <vt:lpstr>Regis Corp. model</vt:lpstr>
      <vt:lpstr>Alien Capital</vt:lpstr>
      <vt:lpstr>Value salon incentives</vt:lpstr>
      <vt:lpstr>RGS trading comps</vt:lpstr>
      <vt:lpstr>RGS M&amp;A comps</vt:lpstr>
      <vt:lpstr>messagerange</vt:lpstr>
      <vt:lpstr>SETTING_HOLDERIDS</vt:lpstr>
      <vt:lpstr>SETTING_HOLDERSFILTER</vt:lpstr>
      <vt:lpstr>SETTING_TICKER</vt:lpstr>
    </vt:vector>
  </TitlesOfParts>
  <Company>Bloomberg L.P.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DudLess</dc:creator>
  <cp:lastModifiedBy>DudLess</cp:lastModifiedBy>
  <cp:lastPrinted>2012-03-21T12:33:19Z</cp:lastPrinted>
  <dcterms:created xsi:type="dcterms:W3CDTF">2009-06-16T13:54:18Z</dcterms:created>
  <dcterms:modified xsi:type="dcterms:W3CDTF">2015-01-06T04:29:01Z</dcterms:modified>
</cp:coreProperties>
</file>